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QNXA62A3xKKlzwzn4/M7yq6V5ZQ3tYXTfx1hFflrGk+ruSOFqu62kjCqGiCdfKF6zcEpgap862lwErOwMhwwHg==" workbookSaltValue="I1Da4/3ip6q7PbgNPdCc5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AB13" i="21"/>
  <c r="AB19" i="21" s="1"/>
  <c r="BG10" i="8"/>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AA16" i="16"/>
  <c r="AA10" i="16"/>
  <c r="X12" i="17"/>
  <c r="AA15"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U12" i="11"/>
  <c r="AC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D20" i="20"/>
  <c r="AK20" i="20"/>
  <c r="AI20" i="20"/>
  <c r="E20" i="20"/>
  <c r="S20" i="20"/>
  <c r="AL20" i="20"/>
  <c r="F20" i="20"/>
  <c r="O20" i="20"/>
  <c r="AQ20" i="20"/>
  <c r="AF20" i="20"/>
  <c r="W20" i="20"/>
  <c r="AG20" i="20"/>
  <c r="O10" i="11"/>
  <c r="K20" i="20"/>
  <c r="AP20" i="20"/>
  <c r="AH20" i="20"/>
  <c r="O16" i="11"/>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AL13" i="11"/>
  <c r="B13" i="6"/>
  <c r="AL19" i="2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P20" i="16"/>
  <c r="BR20" i="16"/>
  <c r="H20" i="17"/>
  <c r="AW20" i="11"/>
  <c r="AX20" i="2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W20" i="16"/>
  <c r="AM20" i="21"/>
  <c r="AA20" i="21"/>
  <c r="Y20" i="21"/>
  <c r="AO20" i="21"/>
  <c r="F20" i="11"/>
  <c r="AH20" i="21"/>
  <c r="Z20" i="16"/>
  <c r="BB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7"/>
  <c r="AT20" i="20"/>
  <c r="AY20" i="11"/>
  <c r="W20" i="17"/>
  <c r="AA20" i="17"/>
  <c r="AC20" i="16"/>
  <c r="Q20" i="21"/>
  <c r="AV20" i="16"/>
  <c r="AK20" i="21"/>
  <c r="AJ20" i="11"/>
  <c r="AN20" i="11"/>
  <c r="Y20" i="11"/>
  <c r="Y20" i="16"/>
  <c r="AH20" i="17"/>
  <c r="X20" i="11"/>
  <c r="N20" i="21"/>
  <c r="AE20" i="11"/>
  <c r="R20" i="11"/>
  <c r="AM20" i="16"/>
  <c r="AP20" i="16"/>
  <c r="AE20" i="16"/>
  <c r="Q20" i="11"/>
  <c r="AG20" i="17"/>
  <c r="P20" i="16"/>
  <c r="AI20" i="21"/>
  <c r="AS20" i="16"/>
  <c r="AM20" i="17"/>
  <c r="BS20" i="16"/>
  <c r="H20" i="12"/>
  <c r="AL20" i="21"/>
  <c r="AA20" i="11"/>
  <c r="N20" i="16"/>
  <c r="AU20" i="11"/>
  <c r="M20" i="16"/>
  <c r="U20" i="20"/>
  <c r="Y20" i="17"/>
  <c r="AM20" i="11"/>
  <c r="I20" i="17"/>
  <c r="N20" i="17"/>
  <c r="BQ20" i="16"/>
  <c r="E20" i="12"/>
  <c r="AA20" i="16"/>
  <c r="AW20" i="16"/>
  <c r="BO20" i="16"/>
  <c r="AF20" i="16"/>
  <c r="AN20" i="17"/>
  <c r="O20" i="16"/>
  <c r="AH20" i="11"/>
  <c r="BH20" i="16"/>
  <c r="K20" i="12"/>
  <c r="AR20" i="17"/>
  <c r="AR20" i="16"/>
  <c r="T20" i="17"/>
  <c r="AB20" i="17"/>
  <c r="K20" i="21"/>
  <c r="L20" i="21"/>
  <c r="F20" i="17"/>
  <c r="AI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<sst xmlns="http://schemas.openxmlformats.org/spreadsheetml/2006/main" count="2102" uniqueCount="917">
  <si>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</si>
  <si>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</si>
  <si>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</si>
  <si>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</si>
  <si>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</si>
  <si>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</si>
  <si>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</si>
  <si>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</si>
  <si>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</si>
  <si>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</si>
  <si>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</si>
  <si>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</si>
  <si>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</si>
  <si>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</si>
  <si>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</si>
  <si>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</si>
  <si>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</si>
  <si>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</si>
  <si>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</si>
  <si>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</si>
  <si>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</si>
  <si>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</si>
  <si>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</si>
  <si>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</si>
  <si>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</si>
  <si>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</si>
  <si>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</si>
  <si>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</si>
  <si>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</si>
  <si>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</si>
  <si>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</si>
  <si>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</si>
  <si>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</si>
  <si>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</si>
  <si>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</si>
  <si>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</si>
  <si>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</si>
  <si>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</si>
  <si>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</si>
  <si>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</si>
  <si>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</si>
  <si>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</si>
  <si>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</si>
  <si>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</si>
  <si>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</si>
  <si>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</si>
  <si>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</si>
  <si>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</si>
  <si>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</si>
  <si>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</si>
  <si>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</si>
  <si>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</si>
  <si>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</si>
  <si>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</si>
  <si>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</si>
  <si>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</si>
  <si>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</si>
  <si>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</si>
  <si>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</si>
  <si>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</si>
  <si>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</si>
  <si>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</si>
  <si>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</si>
  <si>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</si>
  <si>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</si>
  <si>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</si>
  <si>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</si>
  <si>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</si>
  <si>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</si>
  <si>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</si>
  <si>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</si>
  <si>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</si>
  <si>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</si>
  <si>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</si>
  <si>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</si>
  <si>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</si>
  <si>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</si>
  <si>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</si>
  <si>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</si>
  <si>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</si>
  <si>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</si>
  <si>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</si>
  <si>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</si>
  <si>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</si>
  <si>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</si>
  <si>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</si>
  <si>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</si>
  <si>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</si>
  <si>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</si>
  <si>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</si>
  <si>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</si>
  <si>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</si>
  <si>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</si>
  <si>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</si>
  <si>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</si>
  <si>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</si>
  <si>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</si>
  <si>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</si>
  <si>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</si>
  <si>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</si>
  <si>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</si>
  <si>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</si>
  <si>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</si>
  <si>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</si>
  <si>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</si>
  <si>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</si>
  <si>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</si>
  <si>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</si>
  <si>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</si>
  <si>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</si>
  <si>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</si>
  <si>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</si>
  <si>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</si>
  <si>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</si>
  <si>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</si>
  <si>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</si>
  <si>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</si>
  <si>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</si>
  <si>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</si>
  <si>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</si>
  <si>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</si>
  <si>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</si>
  <si>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</si>
  <si>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</si>
  <si>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</si>
  <si>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</si>
  <si>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</si>
  <si>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</si>
  <si>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</si>
  <si>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</si>
  <si>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</si>
  <si>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</si>
  <si>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</si>
  <si>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</si>
  <si>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</si>
  <si>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</si>
  <si>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</si>
  <si>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</si>
  <si>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</si>
  <si>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</si>
  <si>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</si>
  <si>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</si>
  <si>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</si>
  <si>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</si>
  <si>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</si>
  <si>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</si>
  <si>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</si>
  <si>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</si>
  <si>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</si>
  <si>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</si>
  <si>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</si>
  <si>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</si>
  <si>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</si>
  <si>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</si>
  <si>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</si>
  <si>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</si>
  <si>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</si>
  <si>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</si>
  <si>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</si>
  <si>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</si>
  <si>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</si>
  <si>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</si>
  <si>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</si>
  <si>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</si>
  <si>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</si>
  <si>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</si>
  <si>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</si>
  <si>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</si>
  <si>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</si>
  <si>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</si>
  <si>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</si>
  <si>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</si>
  <si>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</si>
  <si>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</si>
  <si>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</si>
  <si>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</si>
  <si>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</si>
  <si>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</si>
  <si>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</si>
  <si>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</si>
  <si>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</si>
  <si>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</si>
  <si>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</si>
  <si>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</si>
  <si>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</si>
  <si>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</si>
  <si>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</si>
  <si>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</si>
  <si>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</si>
  <si>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</si>
  <si>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</si>
  <si>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</si>
  <si>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</si>
  <si>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</si>
  <si>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</si>
  <si>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</si>
  <si>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</si>
  <si>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</si>
  <si>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</si>
  <si>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</si>
  <si>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</si>
  <si>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</si>
  <si>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</si>
  <si>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</si>
  <si>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</si>
  <si>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</si>
  <si>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</si>
  <si>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</si>
  <si>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</si>
  <si>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</si>
  <si>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</si>
  <si>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</si>
  <si>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</si>
  <si>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</si>
  <si>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</si>
  <si>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</si>
  <si>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</si>
  <si>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</si>
  <si>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</si>
  <si>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</si>
  <si>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</si>
  <si>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</si>
  <si>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</si>
  <si>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</si>
  <si>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</si>
  <si>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</si>
  <si>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</si>
  <si>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</si>
  <si>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</si>
  <si>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</si>
  <si>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</si>
  <si>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</si>
  <si>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</si>
  <si>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</si>
  <si>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</si>
  <si>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</si>
  <si>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</si>
  <si>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</si>
  <si>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</si>
  <si>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</si>
  <si>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</si>
  <si>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</si>
  <si>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</si>
  <si>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</si>
  <si>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</si>
  <si>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</si>
  <si>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</si>
  <si>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</si>
  <si>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</si>
  <si>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</si>
  <si>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</si>
  <si>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</si>
  <si>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</si>
  <si>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</si>
  <si>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</si>
  <si>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</si>
  <si>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</si>
  <si>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</si>
  <si>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</si>
  <si>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</si>
  <si>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</si>
  <si>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</si>
  <si>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</si>
  <si>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</si>
  <si>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</si>
  <si>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</si>
  <si>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</si>
  <si>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</si>
  <si>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</si>
  <si>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</si>
  <si>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</si>
  <si>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</si>
  <si>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</si>
  <si>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</si>
  <si>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</si>
  <si>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</si>
  <si>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</si>
  <si>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</si>
  <si>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</si>
  <si>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</si>
  <si>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</si>
  <si>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</si>
  <si>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</si>
  <si>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</si>
  <si>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</si>
  <si>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</si>
  <si>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</si>
  <si>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</si>
  <si>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</si>
  <si>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</si>
  <si>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</si>
  <si>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</si>
  <si>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</si>
  <si>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</si>
  <si>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</si>
  <si>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</si>
  <si>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</si>
  <si>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</si>
  <si>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</si>
  <si>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</si>
  <si>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</si>
  <si>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</si>
  <si>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</si>
  <si>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</si>
  <si>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</si>
  <si>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</si>
  <si>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</si>
  <si>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</si>
  <si>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</si>
  <si>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</si>
  <si>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</si>
  <si>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</si>
  <si>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</si>
  <si>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</si>
  <si>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</si>
  <si>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</si>
  <si>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</si>
  <si>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</si>
  <si>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</si>
  <si>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</si>
  <si>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</si>
  <si>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</si>
  <si>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</si>
  <si>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</si>
  <si>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</si>
  <si>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</si>
  <si>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</si>
  <si>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</si>
  <si>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</si>
  <si>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</si>
  <si>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</si>
  <si>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</si>
  <si>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</si>
  <si>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</si>
  <si>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</si>
  <si>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</si>
  <si>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</si>
  <si>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</si>
  <si>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</si>
  <si>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</si>
  <si>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</si>
  <si>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</si>
  <si>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</si>
  <si>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</si>
  <si>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</si>
  <si>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</si>
  <si>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</si>
  <si>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</si>
  <si>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</si>
  <si>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</si>
  <si>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</si>
  <si>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</si>
  <si>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</si>
  <si>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</si>
  <si>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</si>
  <si>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</si>
  <si>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</si>
  <si>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</si>
  <si>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</si>
  <si>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</si>
  <si>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</si>
  <si>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</si>
  <si>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</si>
  <si>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</si>
  <si>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</si>
  <si>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</si>
  <si>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</si>
  <si>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</si>
  <si>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</si>
  <si>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</si>
  <si>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</si>
  <si>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</si>
  <si>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</si>
  <si>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</si>
  <si>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</si>
  <si>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</si>
  <si>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</si>
  <si>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</si>
  <si>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</si>
  <si>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</si>
  <si>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</si>
  <si>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</si>
  <si>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</si>
  <si>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</si>
  <si>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</si>
  <si>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</si>
  <si>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</si>
  <si>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</si>
  <si>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</si>
  <si>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</si>
  <si>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</si>
  <si>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</si>
  <si>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</si>
  <si>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</si>
  <si>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</si>
  <si>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</si>
  <si>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</si>
  <si>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</si>
  <si>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</si>
  <si>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</si>
  <si>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</si>
  <si>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</si>
  <si>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</si>
  <si>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</si>
  <si>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</si>
  <si>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</si>
  <si>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</si>
  <si>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</si>
  <si>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</si>
  <si>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</si>
  <si>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</si>
  <si>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</si>
  <si>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</si>
  <si>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</si>
  <si>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</si>
  <si>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</si>
  <si>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</si>
  <si>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</si>
  <si>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</si>
  <si>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</si>
  <si>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</si>
  <si>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</si>
  <si>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</si>
  <si>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</si>
  <si>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</si>
  <si>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</si>
  <si>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</si>
  <si>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</si>
  <si>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</si>
  <si>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</si>
  <si>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</si>
  <si>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</si>
  <si>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</si>
  <si>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</si>
  <si>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</si>
  <si>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</si>
  <si>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</si>
  <si>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</si>
  <si>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</si>
  <si>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</si>
  <si>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</si>
  <si>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</si>
  <si>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</si>
  <si>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</si>
  <si>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</si>
  <si>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</si>
  <si>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</si>
  <si>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</si>
  <si>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</si>
  <si>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</si>
  <si>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</si>
  <si>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</si>
  <si>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</si>
  <si>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</si>
  <si>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</si>
  <si>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</si>
  <si>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</si>
  <si>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</si>
  <si>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</si>
  <si>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</si>
  <si>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</si>
  <si>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</si>
  <si>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</si>
  <si>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</si>
  <si>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</si>
  <si>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</si>
  <si>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</si>
  <si>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</si>
  <si>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</si>
  <si>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</si>
  <si>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</si>
  <si>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</si>
  <si>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</si>
  <si>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</si>
  <si>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</si>
  <si>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</si>
  <si>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</si>
  <si>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</si>
  <si>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</si>
  <si>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</si>
  <si>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</si>
  <si>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</si>
  <si>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</si>
  <si>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</si>
  <si>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</si>
  <si>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</si>
  <si>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</si>
  <si>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</si>
  <si>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</si>
  <si>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</si>
  <si>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</si>
  <si>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</si>
  <si>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</si>
  <si>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</si>
  <si>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</si>
  <si>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</si>
  <si>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</si>
  <si>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</si>
  <si>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</si>
  <si>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</si>
  <si>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</si>
  <si>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</si>
  <si>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</si>
  <si>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</si>
  <si>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</si>
  <si>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</si>
  <si>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</si>
  <si>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</si>
  <si>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</si>
  <si>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</si>
  <si>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</si>
  <si>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</si>
  <si>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</si>
  <si>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</si>
  <si>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</si>
  <si>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</si>
  <si>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</si>
  <si>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</si>
  <si>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</si>
  <si>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</si>
  <si>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</si>
  <si>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</si>
  <si>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</si>
  <si>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</si>
  <si>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</si>
  <si>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</si>
  <si>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</si>
  <si>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</si>
  <si>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</si>
  <si>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</si>
  <si>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</si>
  <si>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</si>
  <si>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</si>
  <si>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</si>
  <si>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</si>
  <si>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</si>
  <si>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</si>
  <si>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</si>
  <si>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</si>
  <si>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</si>
  <si>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</si>
  <si>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</si>
  <si>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</si>
  <si>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</si>
  <si>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</si>
  <si>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</si>
  <si>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</si>
  <si>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</si>
  <si>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</si>
  <si>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</si>
  <si>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</si>
  <si>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</si>
  <si>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</si>
  <si>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</si>
  <si>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</si>
  <si>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</si>
  <si>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</si>
  <si>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</si>
  <si>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</si>
  <si>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</si>
  <si>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</si>
  <si>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</si>
  <si>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</si>
  <si>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</si>
  <si>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</si>
  <si>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</si>
  <si>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</si>
  <si>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</si>
  <si>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</si>
  <si>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</si>
  <si>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</si>
  <si>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</si>
  <si>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</si>
  <si>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</si>
  <si>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</si>
  <si>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</si>
  <si>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</si>
  <si>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</si>
  <si>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</si>
  <si>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</si>
  <si>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</si>
  <si>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</si>
  <si>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</si>
  <si>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</si>
  <si>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</si>
  <si>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</si>
  <si>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</si>
  <si>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</si>
  <si>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</si>
  <si>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</si>
  <si>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</si>
  <si>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</si>
  <si>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</si>
  <si>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</si>
  <si>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</si>
  <si>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</si>
  <si>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</si>
  <si>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</si>
  <si>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</si>
  <si>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</si>
  <si>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</si>
  <si>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</si>
  <si>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</si>
  <si>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</si>
  <si>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</si>
  <si>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</si>
  <si>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</si>
  <si>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</si>
  <si>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</si>
  <si>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</si>
  <si>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</si>
  <si>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</si>
  <si>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</si>
  <si>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</si>
  <si>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</si>
  <si>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</si>
  <si>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</si>
  <si>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</si>
  <si>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</si>
  <si>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</si>
  <si>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</si>
  <si>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</si>
  <si>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</si>
  <si>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</si>
  <si>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</si>
  <si>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</si>
  <si>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</si>
  <si>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</si>
  <si>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</si>
  <si>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</si>
  <si>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</si>
  <si>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</si>
  <si>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</si>
  <si>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</si>
  <si>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</si>
  <si>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</si>
  <si>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</si>
  <si>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</si>
  <si>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</si>
  <si>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</si>
  <si>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</si>
  <si>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</si>
  <si>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</si>
  <si>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</si>
  <si>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</si>
  <si>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</si>
  <si>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</si>
  <si>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</si>
  <si>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</si>
  <si>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</si>
  <si>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</si>
  <si>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</si>
  <si>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</si>
  <si>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</si>
  <si>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</si>
  <si>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</si>
  <si>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</si>
  <si>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</si>
  <si>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</si>
  <si>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</si>
  <si>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</si>
  <si>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</si>
  <si>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</si>
  <si>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</si>
  <si>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</si>
  <si>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</si>
  <si>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</si>
  <si>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</si>
  <si>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</si>
  <si>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</si>
  <si>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</si>
  <si>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</si>
  <si>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</si>
  <si>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</si>
  <si>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</si>
  <si>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</si>
  <si>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</si>
  <si>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</si>
  <si>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</si>
  <si>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</si>
  <si>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</si>
  <si>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</si>
  <si>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</si>
  <si>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</si>
  <si>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</si>
  <si>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</si>
  <si>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</si>
  <si>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</si>
  <si>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</si>
  <si>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</si>
  <si>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</si>
  <si>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</si>
  <si>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</si>
  <si>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</si>
  <si>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</si>
  <si>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</si>
  <si>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</si>
  <si>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</si>
  <si>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</si>
  <si>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</si>
  <si>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</si>
  <si>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</si>
  <si>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</si>
  <si>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</si>
  <si>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</si>
  <si>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</si>
  <si>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</si>
  <si>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</si>
  <si>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</si>
  <si>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</si>
  <si>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</si>
  <si>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</si>
  <si>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</si>
  <si>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</si>
  <si>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</si>
  <si>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</si>
  <si>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</si>
  <si>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</si>
  <si>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</si>
  <si>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</si>
  <si>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</si>
  <si>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</si>
  <si>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</si>
  <si>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</si>
  <si>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</si>
  <si>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</si>
  <si>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</si>
  <si>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</si>
  <si>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</si>
  <si>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</si>
  <si>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</si>
  <si>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</si>
  <si>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</si>
  <si>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</si>
  <si>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</si>
  <si>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</si>
  <si>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</si>
  <si>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</si>
  <si>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</si>
  <si>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</si>
  <si>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</si>
  <si>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</si>
  <si>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</si>
  <si>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</si>
  <si>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</si>
  <si>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</si>
  <si>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</si>
  <si>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</si>
  <si>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</si>
  <si>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</si>
  <si>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</si>
  <si>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</si>
  <si>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</si>
  <si>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</si>
  <si>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</si>
  <si>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</si>
  <si>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</si>
  <si>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</si>
  <si>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</si>
  <si>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</si>
  <si>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</si>
  <si>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</si>
  <si>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</si>
  <si>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</si>
  <si>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</si>
  <si>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</si>
  <si>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</si>
  <si>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</si>
  <si>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</si>
  <si>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</si>
  <si>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</si>
  <si>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</si>
  <si>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</si>
  <si>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</si>
  <si>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</si>
  <si>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</si>
  <si>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</si>
  <si>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</si>
  <si>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</si>
  <si>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</si>
  <si>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</si>
  <si>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</si>
  <si>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</si>
  <si>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</si>
  <si>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</si>
  <si>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</si>
  <si>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</si>
  <si>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</si>
  <si>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</si>
  <si>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</si>
  <si>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</si>
  <si>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</si>
  <si>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</si>
  <si>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</si>
  <si>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</si>
  <si>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</si>
  <si>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</si>
  <si>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</si>
  <si>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</si>
  <si>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</si>
  <si>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</si>
  <si>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</si>
  <si>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</si>
  <si>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</si>
  <si>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</si>
  <si>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</si>
  <si>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</si>
  <si>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</si>
  <si>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</si>
  <si>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</si>
  <si>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</si>
  <si>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</si>
  <si>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</si>
  <si>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</si>
  <si>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</si>
  <si>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</si>
  <si>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</si>
  <si>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</si>
  <si>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</si>
  <si>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</si>
  <si>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</si>
  <si>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</si>
  <si>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</si>
  <si>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</si>
  <si>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</si>
  <si>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</si>
  <si>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</si>
  <si>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</si>
  <si>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</si>
  <si>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</si>
  <si>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</si>
  <si>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</si>
  <si>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</si>
  <si>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</si>
  <si>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</si>
  <si>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</si>
  <si>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</si>
  <si>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</si>
  <si>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</si>
  <si>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</si>
  <si>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</si>
  <si>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</si>
  <si>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</si>
  <si>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</si>
  <si>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</si>
  <si>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</si>
  <si>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</si>
  <si>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</si>
  <si>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</si>
  <si>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</si>
  <si>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</si>
  <si>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</si>
  <si>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</si>
  <si>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</si>
  <si>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</si>
  <si>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</si>
  <si>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</si>
  <si>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</si>
  <si>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</si>
  <si>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</si>
  <si>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</si>
  <si>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</si>
  <si>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</si>
  <si>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</si>
  <si>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</si>
  <si>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</si>
  <si>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</si>
  <si>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</si>
  <si>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</si>
  <si>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</si>
  <si>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</si>
  <si>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</si>
  <si>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</si>
  <si>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</si>
  <si>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</si>
  <si>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</si>
  <si>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</si>
  <si>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</si>
  <si>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</si>
  <si>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</si>
  <si>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</si>
  <si>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</si>
  <si>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</si>
  <si>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</si>
  <si>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</si>
  <si>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</si>
  <si>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</si>
  <si>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</si>
  <si>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</si>
  <si>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</si>
  <si>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</si>
  <si>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</si>
  <si>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</si>
  <si>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</si>
  <si>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</si>
  <si>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</si>
  <si>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</si>
  <si>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</si>
  <si>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</si>
  <si>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</si>
  <si>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</si>
  <si>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</si>
  <si>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</si>
  <si>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</si>
  <si>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</si>
  <si>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</si>
  <si>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</si>
  <si>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</si>
  <si>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</si>
  <si>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</si>
  <si>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</si>
  <si>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</si>
  <si>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</si>
  <si>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</si>
  <si>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</si>
  <si>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</si>
  <si>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POZUELO DE ALARCON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</si>
</sst>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ATESfhAmzyrnLJukGllwbOzostzPC16KV9lq3cqxtIBs+JBR8TLMYlERAOOBSl8UJoVsADHVa/yzFqVU+optw==" saltValue="kj0K/ujPKvPL67cW6J2q1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28</v>
      </c>
      <c r="E10" s="226">
        <f>IF(ISNUMBER(Datos!J10),Datos!J10," - ")</f>
        <v>12</v>
      </c>
      <c r="F10" s="226">
        <f>IF(ISNUMBER(Datos!K10),Datos!K10," - ")</f>
        <v>11</v>
      </c>
      <c r="G10" s="1034" t="str">
        <f>IF(Datos!E10&lt;&gt;"",Datos!E10,Datos!D10)</f>
        <v>37</v>
      </c>
      <c r="H10" s="227">
        <f>IF(ISNUMBER(Datos!L10),Datos!L10," - ")</f>
        <v>29</v>
      </c>
      <c r="I10" s="1044" t="str">
        <f>IF(ISNUMBER(Datos!AS10/Datos!BM10),Datos!AS10/Datos!BM10," - ")</f>
        <v xml:space="preserve"> - </v>
      </c>
      <c r="J10" s="1045">
        <f>IF(ISNUMBER(Datos!BY10/Datos!CN10),Datos!BY10/Datos!CN10," - ")</f>
        <v>0</v>
      </c>
      <c r="K10" s="230">
        <f t="shared" ref="K10:K12" si="1">IF(ISNUMBER((E10-F10)/C10),(E10-F10)/C10," - ")</f>
        <v>3.5714285714285712E-2</v>
      </c>
      <c r="L10" s="1025">
        <f>IF(ISNUMBER(NºAsuntos!I10/NºAsuntos!G10),(NºAsuntos!I10/NºAsuntos!G10)*11," - ")</f>
        <v>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19.82193732193732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28</v>
      </c>
      <c r="E13" s="1050">
        <f>SUBTOTAL(9,E9:E12)</f>
        <v>12</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847</v>
      </c>
      <c r="D16" s="225">
        <f>IF(ISNUMBER(IF(D_I="SI",Datos!I16,Datos!I16+Datos!AC16)),IF(D_I="SI",Datos!I16,Datos!I16+Datos!AC16)," - ")</f>
        <v>804</v>
      </c>
      <c r="E16" s="226">
        <f>IF(ISNUMBER(IF(D_I="SI",Datos!J16,Datos!J16+Datos!AD16)),IF(D_I="SI",Datos!J16,Datos!J16+Datos!AD16)," - ")</f>
        <v>795</v>
      </c>
      <c r="F16" s="226">
        <f>IF(ISNUMBER(IF(D_I="SI",Datos!K16,Datos!K16+Datos!AE16)),IF(D_I="SI",Datos!K16,Datos!K16+Datos!AE16)," - ")</f>
        <v>841</v>
      </c>
      <c r="G16" s="1034" t="str">
        <f>IF(Datos!E16&lt;&gt;"",Datos!E16,Datos!D16)</f>
        <v>04</v>
      </c>
      <c r="H16" s="227">
        <f>IF(ISNUMBER(IF(D_I="SI",Datos!L16,Datos!L16+Datos!AF16)),IF(D_I="SI",Datos!L16,Datos!L16+Datos!AF16)," - ")</f>
        <v>801</v>
      </c>
      <c r="I16" s="1044" t="str">
        <f>IF(ISNUMBER(Datos!AS16/Datos!BM16),Datos!AS16/Datos!BM16," - ")</f>
        <v xml:space="preserve"> - </v>
      </c>
      <c r="J16" s="1045">
        <f>IF(ISNUMBER(Datos!BY16/Datos!CN16),Datos!BY16/Datos!CN16," - ")</f>
        <v>0</v>
      </c>
      <c r="K16" s="230">
        <f t="shared" si="3"/>
        <v>-5.4309327036599762E-2</v>
      </c>
      <c r="L16" s="1025">
        <f>IF(ISNUMBER(NºAsuntos!I16/NºAsuntos!G16),(NºAsuntos!I16/NºAsuntos!G16)*11," - ")</f>
        <v>10.476813317479191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60</v>
      </c>
      <c r="F17" s="226">
        <f>IF(ISNUMBER(IF(D_I="SI",Datos!K17,Datos!K17+Datos!AE17)),IF(D_I="SI",Datos!K17,Datos!K17+Datos!AE17)," - ")</f>
        <v>84</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-0.45283018867924529</v>
      </c>
      <c r="L17" s="1025">
        <f>IF(ISNUMBER(NºAsuntos!I17/NºAsuntos!G17),(NºAsuntos!I17/NºAsuntos!G17)*11," - ")</f>
        <v>3.7976190476190474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900</v>
      </c>
      <c r="D18" s="1049">
        <f>SUBTOTAL(9,D15:D17)</f>
        <v>857</v>
      </c>
      <c r="E18" s="1050">
        <f>SUBTOTAL(9,E15:E17)</f>
        <v>855</v>
      </c>
      <c r="F18" s="1050">
        <f>SUBTOTAL(9,F15:F17)</f>
        <v>925</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928</v>
      </c>
      <c r="D19" s="1071">
        <f>SUBTOTAL(9,D9:D18)</f>
        <v>885</v>
      </c>
      <c r="E19" s="1072">
        <f>SUBTOTAL(9,E9:E18)</f>
        <v>867</v>
      </c>
      <c r="F19" s="1072">
        <f>SUBTOTAL(9,F9:F18)</f>
        <v>936</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kpPKLe6lXUouQChuAlkvf+BGkCkKGzGClFQnwo/RjU/7HSeC97XuwewBFTiUoTVEz92QThy0/589x2GRXIfbg==" saltValue="cs1dsubsithCRyOj8SLES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4g+kAn6vdjuKKjh7zXmE4JYC3y1J4BL54VxZ6EFO1qrInJQ1b3VVEKXU54/JIcV+oGOYyLBsz0PPoWN3vWU+w==" saltValue="4AwJeDAQxYDeSfDG+qbM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12</v>
      </c>
      <c r="K10" s="181">
        <v>11</v>
      </c>
      <c r="L10" s="181">
        <v>29</v>
      </c>
      <c r="M10" s="181">
        <v>4</v>
      </c>
      <c r="N10" s="181">
        <v>4</v>
      </c>
      <c r="O10" s="181">
        <v>3</v>
      </c>
      <c r="P10" s="181">
        <v>5</v>
      </c>
      <c r="Q10" s="181">
        <v>3</v>
      </c>
      <c r="R10" s="181">
        <v>10</v>
      </c>
      <c r="S10" s="181">
        <v>5</v>
      </c>
      <c r="T10" s="181">
        <v>4</v>
      </c>
      <c r="U10" s="181">
        <v>3</v>
      </c>
      <c r="V10" s="181">
        <v>6</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4</v>
      </c>
      <c r="BA10" s="129">
        <f t="shared" si="0"/>
        <v>3</v>
      </c>
      <c r="BB10" s="129">
        <f t="shared" si="0"/>
        <v>6</v>
      </c>
      <c r="BC10" s="125">
        <f t="shared" si="0"/>
        <v>3</v>
      </c>
      <c r="BD10" s="126">
        <f>IF(ISNUMBER(BA10/AZ10),BA10/AZ10," - ")</f>
        <v>0.75</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2432</v>
      </c>
      <c r="J12" s="183">
        <v>1276</v>
      </c>
      <c r="K12" s="183">
        <v>1268</v>
      </c>
      <c r="L12" s="183">
        <v>2440</v>
      </c>
      <c r="M12" s="183">
        <v>245</v>
      </c>
      <c r="N12" s="183">
        <v>704</v>
      </c>
      <c r="O12" s="181">
        <v>470</v>
      </c>
      <c r="P12" s="183">
        <v>201</v>
      </c>
      <c r="Q12" s="183">
        <v>202</v>
      </c>
      <c r="R12" s="183">
        <v>2206</v>
      </c>
      <c r="S12" s="183">
        <v>2394</v>
      </c>
      <c r="T12" s="183">
        <v>1018</v>
      </c>
      <c r="U12" s="183">
        <v>1096</v>
      </c>
      <c r="V12" s="183">
        <v>2316</v>
      </c>
      <c r="W12" s="183">
        <v>191</v>
      </c>
      <c r="X12" s="189">
        <v>563</v>
      </c>
      <c r="Y12" s="191">
        <v>104</v>
      </c>
      <c r="Z12" s="181">
        <v>122</v>
      </c>
      <c r="AA12" s="181">
        <v>136</v>
      </c>
      <c r="AB12" s="181">
        <v>90</v>
      </c>
      <c r="AC12" s="183">
        <v>0</v>
      </c>
      <c r="AD12" s="183">
        <v>0</v>
      </c>
      <c r="AE12" s="183">
        <v>0</v>
      </c>
      <c r="AF12" s="189">
        <v>0</v>
      </c>
      <c r="AG12" s="202">
        <v>109</v>
      </c>
      <c r="AH12" s="183">
        <v>84</v>
      </c>
      <c r="AI12" s="183">
        <v>106</v>
      </c>
      <c r="AJ12" s="203">
        <v>83</v>
      </c>
      <c r="AK12" s="182">
        <v>0</v>
      </c>
      <c r="AL12" s="183">
        <v>0</v>
      </c>
      <c r="AM12" s="183">
        <v>0</v>
      </c>
      <c r="AN12" s="189">
        <v>0</v>
      </c>
      <c r="AO12" s="259">
        <v>4</v>
      </c>
      <c r="AP12" s="155">
        <v>4</v>
      </c>
      <c r="AQ12" s="155">
        <v>4</v>
      </c>
      <c r="AR12" s="154">
        <v>4</v>
      </c>
      <c r="AS12" s="340" t="s">
        <v>802</v>
      </c>
      <c r="AT12" s="203"/>
      <c r="AU12" s="202"/>
      <c r="AV12" s="203"/>
      <c r="AW12" s="202"/>
      <c r="AX12" s="203"/>
      <c r="AY12" s="126">
        <f t="shared" si="1"/>
        <v>2503</v>
      </c>
      <c r="AZ12" s="127">
        <f t="shared" si="1"/>
        <v>1102</v>
      </c>
      <c r="BA12" s="127">
        <f t="shared" si="1"/>
        <v>1202</v>
      </c>
      <c r="BB12" s="127">
        <f t="shared" si="1"/>
        <v>2399</v>
      </c>
      <c r="BC12" s="125">
        <f>IF(ISNUMBER(X12),X12," - ")</f>
        <v>563</v>
      </c>
      <c r="BD12" s="126">
        <f t="shared" si="2"/>
        <v>1.0907441016333939</v>
      </c>
      <c r="BE12" s="127">
        <f t="shared" si="3"/>
        <v>1.9958402662229617</v>
      </c>
      <c r="BF12" s="127">
        <f t="shared" si="4"/>
        <v>0.46838602329450912</v>
      </c>
      <c r="BG12" s="196">
        <f t="shared" si="5"/>
        <v>2.9991680532445923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2460</v>
      </c>
      <c r="J13" s="184">
        <f t="shared" si="6"/>
        <v>1288</v>
      </c>
      <c r="K13" s="184">
        <f t="shared" si="6"/>
        <v>1279</v>
      </c>
      <c r="L13" s="184">
        <f t="shared" si="6"/>
        <v>2469</v>
      </c>
      <c r="M13" s="184">
        <f t="shared" si="6"/>
        <v>249</v>
      </c>
      <c r="N13" s="184">
        <f t="shared" si="6"/>
        <v>708</v>
      </c>
      <c r="O13" s="184">
        <f t="shared" si="6"/>
        <v>473</v>
      </c>
      <c r="P13" s="184">
        <f t="shared" si="6"/>
        <v>206</v>
      </c>
      <c r="Q13" s="184">
        <f t="shared" si="6"/>
        <v>205</v>
      </c>
      <c r="R13" s="184">
        <f t="shared" si="6"/>
        <v>2216</v>
      </c>
      <c r="S13" s="184">
        <f t="shared" si="6"/>
        <v>2399</v>
      </c>
      <c r="T13" s="184">
        <f t="shared" si="6"/>
        <v>1022</v>
      </c>
      <c r="U13" s="184">
        <f t="shared" si="6"/>
        <v>1099</v>
      </c>
      <c r="V13" s="184">
        <f t="shared" si="6"/>
        <v>2322</v>
      </c>
      <c r="W13" s="184">
        <f t="shared" si="6"/>
        <v>194</v>
      </c>
      <c r="X13" s="184">
        <f t="shared" si="6"/>
        <v>563</v>
      </c>
      <c r="Y13" s="184">
        <f t="shared" si="6"/>
        <v>104</v>
      </c>
      <c r="Z13" s="184">
        <f t="shared" si="6"/>
        <v>122</v>
      </c>
      <c r="AA13" s="184">
        <f t="shared" si="6"/>
        <v>136</v>
      </c>
      <c r="AB13" s="184">
        <f t="shared" si="6"/>
        <v>90</v>
      </c>
      <c r="AC13" s="184">
        <f t="shared" si="6"/>
        <v>0</v>
      </c>
      <c r="AD13" s="184">
        <f t="shared" si="6"/>
        <v>0</v>
      </c>
      <c r="AE13" s="184">
        <f t="shared" si="6"/>
        <v>0</v>
      </c>
      <c r="AF13" s="184">
        <f>SUBTOTAL(9,AF9:AF12)</f>
        <v>0</v>
      </c>
      <c r="AG13" s="184">
        <f t="shared" ref="AG13:AT13" si="7">SUBTOTAL(9,AG8:AG12)</f>
        <v>109</v>
      </c>
      <c r="AH13" s="184">
        <f t="shared" si="7"/>
        <v>84</v>
      </c>
      <c r="AI13" s="184">
        <f t="shared" si="7"/>
        <v>106</v>
      </c>
      <c r="AJ13" s="184">
        <f t="shared" si="7"/>
        <v>83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2508</v>
      </c>
      <c r="AZ13" s="184">
        <f>SUBTOTAL(9,AZ8:AZ12)</f>
        <v>1106</v>
      </c>
      <c r="BA13" s="184">
        <f>SUBTOTAL(9,BA8:BA12)</f>
        <v>1205</v>
      </c>
      <c r="BB13" s="184">
        <f>SUBTOTAL(9,BB8:BB12)</f>
        <v>2405</v>
      </c>
      <c r="BC13" s="184">
        <f>SUBTOTAL(9,BC8:BC12)</f>
        <v>566</v>
      </c>
      <c r="BD13" s="205">
        <f>IF(ISNUMBER(BA13/AZ13),BA13/AZ13," - ")</f>
        <v>1.089511754068716</v>
      </c>
      <c r="BE13" s="206">
        <f>IF(ISNUMBER(BB13/BA13),BB13/BA13, " - ")</f>
        <v>1.995850622406639</v>
      </c>
      <c r="BF13" s="206">
        <f>IF(ISNUMBER(BC13/BA13),BC13/BA13, " - ")</f>
        <v>0.46970954356846473</v>
      </c>
      <c r="BG13" s="207">
        <f>IF(ISNUMBER((AY13+AZ13)/BA13),(AY13+AZ13)/BA13," - ")</f>
        <v>2.9991701244813278</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804</v>
      </c>
      <c r="J16" s="183">
        <v>795</v>
      </c>
      <c r="K16" s="183">
        <v>841</v>
      </c>
      <c r="L16" s="183">
        <v>801</v>
      </c>
      <c r="M16" s="183">
        <v>82</v>
      </c>
      <c r="N16" s="183">
        <v>523</v>
      </c>
      <c r="O16" s="181">
        <v>8</v>
      </c>
      <c r="P16" s="183">
        <v>21</v>
      </c>
      <c r="Q16" s="183">
        <v>19</v>
      </c>
      <c r="R16" s="183">
        <v>56</v>
      </c>
      <c r="S16" s="183">
        <v>729</v>
      </c>
      <c r="T16" s="183">
        <v>853</v>
      </c>
      <c r="U16" s="183">
        <v>834</v>
      </c>
      <c r="V16" s="183">
        <v>767</v>
      </c>
      <c r="W16" s="183">
        <v>114</v>
      </c>
      <c r="X16" s="189">
        <v>546</v>
      </c>
      <c r="Y16" s="202">
        <v>0</v>
      </c>
      <c r="Z16" s="183">
        <v>0</v>
      </c>
      <c r="AA16" s="183">
        <v>0</v>
      </c>
      <c r="AB16" s="183">
        <v>0</v>
      </c>
      <c r="AC16" s="183">
        <v>0</v>
      </c>
      <c r="AD16" s="183">
        <v>17</v>
      </c>
      <c r="AE16" s="183">
        <v>17</v>
      </c>
      <c r="AF16" s="189">
        <v>0</v>
      </c>
      <c r="AG16" s="202">
        <v>0</v>
      </c>
      <c r="AH16" s="183">
        <v>0</v>
      </c>
      <c r="AI16" s="183">
        <v>0</v>
      </c>
      <c r="AJ16" s="203">
        <v>0</v>
      </c>
      <c r="AK16" s="182">
        <v>0</v>
      </c>
      <c r="AL16" s="183">
        <v>2</v>
      </c>
      <c r="AM16" s="183">
        <v>2</v>
      </c>
      <c r="AN16" s="189">
        <v>0</v>
      </c>
      <c r="AO16" s="259">
        <v>4</v>
      </c>
      <c r="AP16" s="155">
        <v>4</v>
      </c>
      <c r="AQ16" s="155">
        <v>4</v>
      </c>
      <c r="AR16" s="155">
        <v>4</v>
      </c>
      <c r="AS16" s="340" t="s">
        <v>487</v>
      </c>
      <c r="AT16" s="203"/>
      <c r="AU16" s="202"/>
      <c r="AV16" s="203"/>
      <c r="AW16" s="202"/>
      <c r="AX16" s="203"/>
      <c r="AY16" s="126">
        <f t="shared" si="9"/>
        <v>729</v>
      </c>
      <c r="AZ16" s="127">
        <f t="shared" si="9"/>
        <v>853</v>
      </c>
      <c r="BA16" s="127">
        <f t="shared" si="9"/>
        <v>834</v>
      </c>
      <c r="BB16" s="127">
        <f t="shared" si="9"/>
        <v>767</v>
      </c>
      <c r="BC16" s="125">
        <f>IF(ISNUMBER(W16),W16," - ")</f>
        <v>114</v>
      </c>
      <c r="BD16" s="126">
        <f t="shared" ref="BD16" si="11">IF(ISNUMBER(BA16/AZ16),BA16/AZ16," - ")</f>
        <v>0.97772567409144195</v>
      </c>
      <c r="BE16" s="127">
        <f t="shared" ref="BE16" si="12">IF(ISNUMBER(BB16/BA16),BB16/BA16, " - ")</f>
        <v>0.91966426858513195</v>
      </c>
      <c r="BF16" s="127">
        <f t="shared" ref="BF16" si="13">IF(ISNUMBER(BC16/BA16),BC16/BA16, " - ")</f>
        <v>0.1366906474820144</v>
      </c>
      <c r="BG16" s="196">
        <f t="shared" si="10"/>
        <v>1.8968824940047961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60</v>
      </c>
      <c r="K17" s="183">
        <v>84</v>
      </c>
      <c r="L17" s="183">
        <v>29</v>
      </c>
      <c r="M17" s="183">
        <v>5</v>
      </c>
      <c r="N17" s="183">
        <v>47</v>
      </c>
      <c r="O17" s="183">
        <v>0</v>
      </c>
      <c r="P17" s="183">
        <v>0</v>
      </c>
      <c r="Q17" s="183">
        <v>0</v>
      </c>
      <c r="R17" s="183">
        <v>7</v>
      </c>
      <c r="S17" s="183">
        <v>29</v>
      </c>
      <c r="T17" s="183">
        <v>19</v>
      </c>
      <c r="U17" s="183">
        <v>22</v>
      </c>
      <c r="V17" s="183">
        <v>26</v>
      </c>
      <c r="W17" s="183">
        <v>6</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19</v>
      </c>
      <c r="BA17" s="129">
        <f t="shared" si="14"/>
        <v>22</v>
      </c>
      <c r="BB17" s="129">
        <f t="shared" si="14"/>
        <v>26</v>
      </c>
      <c r="BC17" s="125">
        <f>IF(ISNUMBER(W17),W17," - ")</f>
        <v>6</v>
      </c>
      <c r="BD17" s="126">
        <f>IF(ISNUMBER(BA17/AZ17),BA17/AZ17," - ")</f>
        <v>1.1578947368421053</v>
      </c>
      <c r="BE17" s="127">
        <f>IF(ISNUMBER(BB17/BA17),BB17/BA17, " - ")</f>
        <v>1.1818181818181819</v>
      </c>
      <c r="BF17" s="127">
        <f>IF(ISNUMBER(BC17/BA17),BC17/BA17, " - ")</f>
        <v>0.27272727272727271</v>
      </c>
      <c r="BG17" s="196">
        <f>IF(ISNUMBER((AY17+AZ17)/BA17),(AY17+AZ17)/BA17," - ")</f>
        <v>2.1818181818181817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857</v>
      </c>
      <c r="J18" s="184">
        <f t="shared" si="15"/>
        <v>855</v>
      </c>
      <c r="K18" s="184">
        <f t="shared" si="15"/>
        <v>925</v>
      </c>
      <c r="L18" s="184">
        <f t="shared" si="15"/>
        <v>830</v>
      </c>
      <c r="M18" s="184">
        <f t="shared" si="15"/>
        <v>87</v>
      </c>
      <c r="N18" s="184">
        <f t="shared" si="15"/>
        <v>570</v>
      </c>
      <c r="O18" s="184">
        <f t="shared" si="15"/>
        <v>8</v>
      </c>
      <c r="P18" s="184">
        <f t="shared" si="15"/>
        <v>21</v>
      </c>
      <c r="Q18" s="184">
        <f t="shared" si="15"/>
        <v>19</v>
      </c>
      <c r="R18" s="184">
        <f t="shared" si="15"/>
        <v>63</v>
      </c>
      <c r="S18" s="184">
        <f t="shared" si="15"/>
        <v>758</v>
      </c>
      <c r="T18" s="184">
        <f t="shared" si="15"/>
        <v>872</v>
      </c>
      <c r="U18" s="184">
        <f t="shared" si="15"/>
        <v>856</v>
      </c>
      <c r="V18" s="184">
        <f t="shared" si="15"/>
        <v>793</v>
      </c>
      <c r="W18" s="184">
        <f t="shared" si="15"/>
        <v>120</v>
      </c>
      <c r="X18" s="184">
        <f t="shared" si="15"/>
        <v>558</v>
      </c>
      <c r="Y18" s="184">
        <f t="shared" si="15"/>
        <v>0</v>
      </c>
      <c r="Z18" s="184">
        <f t="shared" si="15"/>
        <v>0</v>
      </c>
      <c r="AA18" s="184">
        <f t="shared" si="15"/>
        <v>0</v>
      </c>
      <c r="AB18" s="184">
        <f t="shared" si="15"/>
        <v>0</v>
      </c>
      <c r="AC18" s="184">
        <f t="shared" si="15"/>
        <v>0</v>
      </c>
      <c r="AD18" s="184">
        <f t="shared" si="15"/>
        <v>17</v>
      </c>
      <c r="AE18" s="184">
        <f t="shared" si="15"/>
        <v>17</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758</v>
      </c>
      <c r="AZ18" s="184">
        <f>SUBTOTAL(9,AZ14:AZ17)</f>
        <v>872</v>
      </c>
      <c r="BA18" s="184">
        <f>SUBTOTAL(9,BA14:BA17)</f>
        <v>856</v>
      </c>
      <c r="BB18" s="184">
        <f>SUBTOTAL(9,BB14:BB17)</f>
        <v>793</v>
      </c>
      <c r="BC18" s="184">
        <f>SUBTOTAL(9,BC14:BC17)</f>
        <v>120</v>
      </c>
      <c r="BD18" s="205">
        <f>IF(ISNUMBER(BA18/AZ18),BA18/AZ18," - ")</f>
        <v>0.98165137614678899</v>
      </c>
      <c r="BE18" s="206">
        <f>IF(ISNUMBER(BB18/BA18),BB18/BA18, " - ")</f>
        <v>0.92640186915887845</v>
      </c>
      <c r="BF18" s="206">
        <f>IF(ISNUMBER(BC18/BA18),BC18/BA18, " - ")</f>
        <v>0.14018691588785046</v>
      </c>
      <c r="BG18" s="207">
        <f>IF(ISNUMBER((AY18+AZ18)/BA18),(AY18+AZ18)/BA18," - ")</f>
        <v>1.9042056074766356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3317</v>
      </c>
      <c r="J19" s="134">
        <f t="shared" si="18"/>
        <v>2143</v>
      </c>
      <c r="K19" s="134">
        <f t="shared" si="18"/>
        <v>2204</v>
      </c>
      <c r="L19" s="134">
        <f t="shared" si="18"/>
        <v>3299</v>
      </c>
      <c r="M19" s="134">
        <f t="shared" si="18"/>
        <v>336</v>
      </c>
      <c r="N19" s="134">
        <f t="shared" si="18"/>
        <v>1278</v>
      </c>
      <c r="O19" s="134">
        <f t="shared" si="18"/>
        <v>481</v>
      </c>
      <c r="P19" s="134">
        <f t="shared" si="18"/>
        <v>227</v>
      </c>
      <c r="Q19" s="134">
        <f t="shared" si="18"/>
        <v>224</v>
      </c>
      <c r="R19" s="134">
        <f t="shared" si="18"/>
        <v>2279</v>
      </c>
      <c r="S19" s="134">
        <f t="shared" si="18"/>
        <v>3157</v>
      </c>
      <c r="T19" s="134">
        <f t="shared" si="18"/>
        <v>1894</v>
      </c>
      <c r="U19" s="134">
        <f t="shared" si="18"/>
        <v>1955</v>
      </c>
      <c r="V19" s="134">
        <f t="shared" si="18"/>
        <v>3115</v>
      </c>
      <c r="W19" s="134">
        <f t="shared" si="18"/>
        <v>314</v>
      </c>
      <c r="X19" s="134">
        <f t="shared" si="18"/>
        <v>1121</v>
      </c>
      <c r="Y19" s="134">
        <f t="shared" si="18"/>
        <v>104</v>
      </c>
      <c r="Z19" s="134">
        <f t="shared" si="18"/>
        <v>122</v>
      </c>
      <c r="AA19" s="134">
        <f t="shared" si="18"/>
        <v>136</v>
      </c>
      <c r="AB19" s="134">
        <f t="shared" si="18"/>
        <v>90</v>
      </c>
      <c r="AC19" s="134">
        <f t="shared" si="18"/>
        <v>0</v>
      </c>
      <c r="AD19" s="134">
        <f t="shared" si="18"/>
        <v>17</v>
      </c>
      <c r="AE19" s="134">
        <f t="shared" si="18"/>
        <v>17</v>
      </c>
      <c r="AF19" s="134">
        <f t="shared" si="18"/>
        <v>0</v>
      </c>
      <c r="AG19" s="134">
        <f t="shared" si="18"/>
        <v>109</v>
      </c>
      <c r="AH19" s="134">
        <f t="shared" si="18"/>
        <v>84</v>
      </c>
      <c r="AI19" s="134">
        <f t="shared" si="18"/>
        <v>106</v>
      </c>
      <c r="AJ19" s="134">
        <f t="shared" si="18"/>
        <v>83</v>
      </c>
      <c r="AK19" s="134">
        <f t="shared" si="18"/>
        <v>0</v>
      </c>
      <c r="AL19" s="134">
        <f t="shared" si="18"/>
        <v>2</v>
      </c>
      <c r="AM19" s="134">
        <f t="shared" si="18"/>
        <v>2</v>
      </c>
      <c r="AN19" s="210">
        <f t="shared" si="18"/>
        <v>0</v>
      </c>
      <c r="AO19" s="211">
        <v>5</v>
      </c>
      <c r="AP19" s="211">
        <v>4</v>
      </c>
      <c r="AQ19" s="211">
        <v>4</v>
      </c>
      <c r="AR19" s="211">
        <v>4</v>
      </c>
      <c r="AS19" s="153">
        <f t="shared" si="18"/>
        <v>0</v>
      </c>
      <c r="AT19" s="153">
        <f t="shared" si="18"/>
        <v>0</v>
      </c>
      <c r="AU19" s="211"/>
      <c r="AV19" s="212"/>
      <c r="AW19" s="211"/>
      <c r="AX19" s="212"/>
      <c r="AY19" s="133">
        <f>SUBTOTAL(9,AY9:AY18)</f>
        <v>3266</v>
      </c>
      <c r="AZ19" s="134">
        <f>SUBTOTAL(9,AZ9:AZ18)</f>
        <v>1978</v>
      </c>
      <c r="BA19" s="134">
        <f>SUBTOTAL(9,BA9:BA18)</f>
        <v>2061</v>
      </c>
      <c r="BB19" s="134">
        <f>SUBTOTAL(9,BB9:BB18)</f>
        <v>3198</v>
      </c>
      <c r="BC19" s="135">
        <f>SUBTOTAL(9,BC9:BC18)</f>
        <v>686</v>
      </c>
      <c r="BD19" s="213">
        <f>IF(ISNUMBER(BA19/AZ19),BA19/AZ19," - ")</f>
        <v>1.0419615773508595</v>
      </c>
      <c r="BE19" s="210">
        <f>IF(ISNUMBER(BB19/BA19),BB19/BA19, " - ")</f>
        <v>1.5516739446870451</v>
      </c>
      <c r="BF19" s="210">
        <f>IF(ISNUMBER(BC19/BA19),BC19/BA19, " - ")</f>
        <v>0.33284813197476953</v>
      </c>
      <c r="BG19" s="135">
        <f>IF(ISNUMBER((AY19+AZ19)/BA19),(AY19+AZ19)/BA19," - ")</f>
        <v>2.5443959243085881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gPCmWslJ+zb9XHLoQ+D9dbvdcHl12zTZcIi/yx8K+MWnHZpVPQ4e8yU9e7HBXiZ+AJIHnZfw7IhpdP72YA0eQ==" saltValue="LOdBLt3OdnEwEY9vCcYz0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O5xx7LS+sSAR8l57UO54Yg500GpResRjzr/E8Qey0Qf6hm+3K7rXnUrHKGngDGfJ/HgW31JVIIvxdecLNcMrg==" saltValue="emR7k6bFTIiqvZxdd8A3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POZUELO DE ALARCON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3</v>
      </c>
      <c r="AD10" s="334"/>
      <c r="AE10" s="484"/>
      <c r="AF10" s="332">
        <f>IF(ISNUMBER(Datos!L10),Datos!L10,"-")</f>
        <v>29</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4</v>
      </c>
      <c r="BE10" s="229" t="str">
        <f>IF(ISNUMBER(Datos!BW10),Datos!BW10," - ")</f>
        <v xml:space="preserve"> - </v>
      </c>
      <c r="BF10" s="228" t="str">
        <f>IF(ISNUMBER(Datos!BX10),Datos!BX10," - ")</f>
        <v xml:space="preserve"> - </v>
      </c>
      <c r="BG10" s="243">
        <f>IF(ISNUMBER(Datos!K10/Datos!J10),Datos!K10/Datos!J10," - ")</f>
        <v>0.91666666666666663</v>
      </c>
      <c r="BH10" s="260">
        <f>IF(ISNUMBER(((Datos!L10/Datos!K10)*11)/factor_trimestre),((Datos!L10/Datos!K10)*11)/factor_trimestre," - ")</f>
        <v>7.9090909090909092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122</v>
      </c>
      <c r="O12" s="334"/>
      <c r="P12" s="334"/>
      <c r="Q12" s="226">
        <f>IF(ISNUMBER(Datos!P12),Datos!P12,0)</f>
        <v>201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90</v>
      </c>
      <c r="AI12" s="334" t="str">
        <f>IF(ISNUMBER(Datos!CD12),Datos!CD12,"-")</f>
        <v>-</v>
      </c>
      <c r="AJ12" s="334" t="str">
        <f>IF(ISNUMBER(Datos!EN12),Datos!EN12," - ")</f>
        <v xml:space="preserve"> - </v>
      </c>
      <c r="AK12" s="334"/>
      <c r="AL12" s="479"/>
      <c r="AM12" s="335">
        <f>IF(ISNUMBER(Datos!R12),Datos!R12," - ")</f>
        <v>2206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245</v>
      </c>
      <c r="BD12" s="229">
        <f>IF(ISNUMBER(Datos!N12),Datos!N12," - ")</f>
        <v>704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1.0042918454935623</v>
      </c>
      <c r="BH12" s="260">
        <f>IF(ISNUMBER(((IF(J_V="SI",Datos!L12/Datos!K12,(Datos!L12+Datos!AB12)/(Datos!K12+Datos!AA12)))*11)/factor_trimestre),((IF(J_V="SI",Datos!L12/Datos!K12,(Datos!L12+Datos!AB12)/(Datos!K12+Datos!AA12)))*11)/factor_trimestre," - ")</f>
        <v>5.4059829059829054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-4.5310376076121433E-4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122</v>
      </c>
      <c r="O13" s="900">
        <f t="shared" si="0"/>
        <v>0</v>
      </c>
      <c r="P13" s="900">
        <f t="shared" si="0"/>
        <v>0</v>
      </c>
      <c r="Q13" s="899">
        <f t="shared" si="0"/>
        <v>206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205</v>
      </c>
      <c r="AD13" s="899">
        <f t="shared" si="1"/>
        <v>0</v>
      </c>
      <c r="AE13" s="899">
        <f t="shared" si="1"/>
        <v>0</v>
      </c>
      <c r="AF13" s="899">
        <f t="shared" si="1"/>
        <v>29</v>
      </c>
      <c r="AG13" s="899">
        <f t="shared" si="1"/>
        <v>0</v>
      </c>
      <c r="AH13" s="899">
        <f t="shared" si="1"/>
        <v>90</v>
      </c>
      <c r="AI13" s="899">
        <f t="shared" si="1"/>
        <v>0</v>
      </c>
      <c r="AJ13" s="899">
        <f t="shared" si="1"/>
        <v>0</v>
      </c>
      <c r="AK13" s="899">
        <f t="shared" si="1"/>
        <v>0</v>
      </c>
      <c r="AL13" s="899">
        <f t="shared" si="1"/>
        <v>0</v>
      </c>
      <c r="AM13" s="899">
        <f t="shared" si="1"/>
        <v>2216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249</v>
      </c>
      <c r="BD13" s="899">
        <f t="shared" si="1"/>
        <v>708</v>
      </c>
      <c r="BE13" s="899">
        <f t="shared" si="1"/>
        <v>0</v>
      </c>
      <c r="BF13" s="899">
        <f t="shared" si="1"/>
        <v>0</v>
      </c>
      <c r="BG13" s="899">
        <f>IF(ISNUMBER(Datos!K13/Datos!J13),Datos!K13/Datos!J13," - ")</f>
        <v>0.99301242236024845</v>
      </c>
      <c r="BH13" s="903">
        <f>IF(ISNUMBER(((Datos!L13/Datos!K13)*11)/factor_trimestre),((Datos!L13/Datos!K13)*11)/factor_trimestre," - ")</f>
        <v>5.791243158717748</v>
      </c>
      <c r="BI13" s="899">
        <f>IF(ISNUMBER('Resol  Asuntos'!D13/NºAsuntos!G13),'Resol  Asuntos'!D13/NºAsuntos!G13," - ")</f>
        <v>0.17597173144876324</v>
      </c>
      <c r="BJ13" s="899" t="str">
        <f>IF(ISNUMBER(Datos!CI13/Datos!CJ13),Datos!CI13/Datos!CJ13," - ")</f>
        <v xml:space="preserve"> - </v>
      </c>
      <c r="BK13" s="899">
        <f>SUBTOTAL(9,BK8:BK12)</f>
        <v>0</v>
      </c>
      <c r="BL13" s="899">
        <f>IF(ISNUMBER((I13-AB13+L13)/(F13)),(I13-AB13+L13)/(F13)," - ")</f>
        <v>-0.39285714285714285</v>
      </c>
      <c r="BM13" s="904">
        <f>SUBTOTAL(9,BM9:BM12)</f>
        <v>0.24954689623923879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847</v>
      </c>
      <c r="G16" s="598">
        <f>IF(ISNUMBER(IF(D_I="SI",Datos!I16,Datos!I16+Datos!AC16)),IF(D_I="SI",Datos!I16,Datos!I16+Datos!AC16)," - ")</f>
        <v>804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841</v>
      </c>
      <c r="AC16" s="226">
        <f>IF(ISNUMBER(Datos!Q16),Datos!Q16," - ")</f>
        <v>19</v>
      </c>
      <c r="AD16" s="334"/>
      <c r="AE16" s="484"/>
      <c r="AF16" s="596">
        <f>IF(ISNUMBER(IF(D_I="SI",Datos!L16,Datos!L16+Datos!AF16)),IF(D_I="SI",Datos!L16,Datos!L16+Datos!AF16)," - ")</f>
        <v>801</v>
      </c>
      <c r="AG16" s="334"/>
      <c r="AH16" s="334"/>
      <c r="AI16" s="334"/>
      <c r="AJ16" s="334"/>
      <c r="AK16" s="334"/>
      <c r="AL16" s="479"/>
      <c r="AM16" s="335">
        <f>IF(ISNUMBER(Datos!R16),Datos!R16," - ")</f>
        <v>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82</v>
      </c>
      <c r="BD16" s="229">
        <f>IF(ISNUMBER(Datos!N16),Datos!N16," - ")</f>
        <v>523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1.0578616352201258</v>
      </c>
      <c r="BH16" s="260">
        <f>IF(ISNUMBER(((IF(D_I="SI",Datos!L16/Datos!K16,(Datos!L16+Datos!AF16)/(Datos!K16+Datos!AE16)))*11)/factor_trimestre),((IF(D_I="SI",Datos!L16/Datos!K16,(Datos!L16+Datos!AF16)/(Datos!K16+Datos!AE16)))*11)/factor_trimestre," - ")</f>
        <v>2.8573127229488704</v>
      </c>
      <c r="BI16" s="243">
        <f>IF(ISNUMBER('Resol  Asuntos'!D16/NºAsuntos!G16),'Resol  Asuntos'!D16/NºAsuntos!G16," - ")</f>
        <v>9.7502972651605235E-2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84</v>
      </c>
      <c r="AC17" s="226">
        <f>IF(ISNUMBER(Datos!Q17),Datos!Q17," - ")</f>
        <v>0</v>
      </c>
      <c r="AD17" s="334"/>
      <c r="AE17" s="484"/>
      <c r="AF17" s="332">
        <f>IF(ISNUMBER(Datos!L17),Datos!L17,"-")</f>
        <v>29</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v>
      </c>
      <c r="BH17" s="260">
        <f>IF(ISNUMBER(((IF(D_I="SI",Datos!L17/Datos!K17,(Datos!L17+Datos!AF17)/(Datos!K17+Datos!AE17)))*11)/factor_trimestre),((IF(D_I="SI",Datos!L17/Datos!K17,(Datos!L17+Datos!AF17)/(Datos!K17+Datos!AE17)))*11)/factor_trimestre," - ")</f>
        <v>1.0357142857142858</v>
      </c>
      <c r="BI17" s="243">
        <f>IF(ISNUMBER('Resol  Asuntos'!D17/NºAsuntos!G17),'Resol  Asuntos'!D17/NºAsuntos!G17," - ")</f>
        <v>5.9523809523809521E-2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847</v>
      </c>
      <c r="G18" s="898">
        <f>SUBTOTAL(9,G15:G17)</f>
        <v>857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925</v>
      </c>
      <c r="AC18" s="899">
        <f t="shared" si="4"/>
        <v>19</v>
      </c>
      <c r="AD18" s="899">
        <f t="shared" si="4"/>
        <v>0</v>
      </c>
      <c r="AE18" s="899">
        <f t="shared" si="4"/>
        <v>0</v>
      </c>
      <c r="AF18" s="899">
        <f t="shared" si="4"/>
        <v>830</v>
      </c>
      <c r="AG18" s="899">
        <f t="shared" si="4"/>
        <v>0</v>
      </c>
      <c r="AH18" s="899">
        <f t="shared" si="4"/>
        <v>0</v>
      </c>
      <c r="AI18" s="899">
        <f t="shared" si="4"/>
        <v>0</v>
      </c>
      <c r="AJ18" s="899">
        <f t="shared" si="4"/>
        <v>0</v>
      </c>
      <c r="AK18" s="899">
        <f t="shared" si="4"/>
        <v>0</v>
      </c>
      <c r="AL18" s="899">
        <f t="shared" si="4"/>
        <v>0</v>
      </c>
      <c r="AM18" s="899">
        <f t="shared" si="4"/>
        <v>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570</v>
      </c>
      <c r="BE18" s="899">
        <f t="shared" si="4"/>
        <v>0</v>
      </c>
      <c r="BF18" s="899">
        <f t="shared" si="4"/>
        <v>0</v>
      </c>
      <c r="BG18" s="899">
        <f>IF(ISNUMBER(Datos!K18/Datos!J18),Datos!K18/Datos!J18," - ")</f>
        <v>1.0818713450292399</v>
      </c>
      <c r="BH18" s="903">
        <f>IF(ISNUMBER(((Datos!L18/Datos!K18)*11)/factor_trimestre),((Datos!L18/Datos!K18)*11)/factor_trimestre," - ")</f>
        <v>2.6918918918918924</v>
      </c>
      <c r="BI18" s="899">
        <f>SUBTOTAL(9,BI15:BI17)</f>
        <v>0.15702678217541477</v>
      </c>
      <c r="BJ18" s="899">
        <f>SUBTOTAL(9,BJ15:BJ17)</f>
        <v>0</v>
      </c>
      <c r="BK18" s="899">
        <f>SUBTOTAL(9,BK15:BK17)</f>
        <v>0</v>
      </c>
      <c r="BL18" s="899">
        <f>IF(ISNUMBER((I18-AB18+L18)/(F18)),(I18-AB18+L18)/(F18)," - ")</f>
        <v>-1.0920897284533648</v>
      </c>
      <c r="BM18" s="905">
        <f>IF(ISNUMBER((Datos!P18-Datos!Q18)/(Datos!R18-Datos!P18+Datos!Q18)),(Datos!P18-Datos!Q18)/(Datos!R18-Datos!P18+Datos!Q18)," - ")</f>
        <v>3.2786885245901641E-2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875</v>
      </c>
      <c r="G19" s="820">
        <f t="shared" si="6"/>
        <v>885</v>
      </c>
      <c r="H19" s="822">
        <f t="shared" si="6"/>
        <v>0</v>
      </c>
      <c r="I19" s="820">
        <f t="shared" si="6"/>
        <v>0</v>
      </c>
      <c r="J19" s="822">
        <f t="shared" si="6"/>
        <v>0</v>
      </c>
      <c r="K19" s="822">
        <f t="shared" si="6"/>
        <v>0</v>
      </c>
      <c r="L19" s="881">
        <f t="shared" si="6"/>
        <v>0</v>
      </c>
      <c r="M19" s="881">
        <f t="shared" si="6"/>
        <v>0</v>
      </c>
      <c r="N19" s="881">
        <f t="shared" si="6"/>
        <v>122</v>
      </c>
      <c r="O19" s="881">
        <f t="shared" si="6"/>
        <v>0</v>
      </c>
      <c r="P19" s="881">
        <f t="shared" si="6"/>
        <v>0</v>
      </c>
      <c r="Q19" s="822">
        <f t="shared" si="6"/>
        <v>227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936</v>
      </c>
      <c r="AC19" s="821">
        <f t="shared" si="7"/>
        <v>224</v>
      </c>
      <c r="AD19" s="821">
        <f t="shared" si="7"/>
        <v>0</v>
      </c>
      <c r="AE19" s="821">
        <f t="shared" si="7"/>
        <v>0</v>
      </c>
      <c r="AF19" s="828">
        <f t="shared" si="7"/>
        <v>859</v>
      </c>
      <c r="AG19" s="828">
        <f t="shared" si="7"/>
        <v>0</v>
      </c>
      <c r="AH19" s="828">
        <f t="shared" si="7"/>
        <v>90</v>
      </c>
      <c r="AI19" s="828">
        <f t="shared" si="7"/>
        <v>0</v>
      </c>
      <c r="AJ19" s="821">
        <f t="shared" si="7"/>
        <v>0</v>
      </c>
      <c r="AK19" s="828">
        <f t="shared" si="7"/>
        <v>0</v>
      </c>
      <c r="AL19" s="828">
        <f t="shared" si="7"/>
        <v>0</v>
      </c>
      <c r="AM19" s="828">
        <f t="shared" si="7"/>
        <v>2279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336</v>
      </c>
      <c r="BD19" s="820">
        <f t="shared" si="7"/>
        <v>1278</v>
      </c>
      <c r="BE19" s="820">
        <f t="shared" si="7"/>
        <v>0</v>
      </c>
      <c r="BF19" s="830">
        <f t="shared" si="7"/>
        <v>0</v>
      </c>
      <c r="BG19" s="915">
        <f>IF(ISNUMBER(Datos!K19/Datos!J19),Datos!K19/Datos!J19," - ")</f>
        <v>1.028464769015399</v>
      </c>
      <c r="BH19" s="915">
        <f>IF(ISNUMBER(((Datos!L19/Datos!K19)*11)/factor_trimestre),((Datos!L19/Datos!K19)*11)/factor_trimestre," - ")</f>
        <v>4.490471869328494</v>
      </c>
      <c r="BI19" s="813">
        <f>IF(ISNUMBER(Datos!J19/Datos!I19),Datos!J19/Datos!I19," - ")</f>
        <v>0.64606572203798618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-1.0697142857142856</v>
      </c>
      <c r="BM19" s="889">
        <f>IF(ISNUMBER((Datos!P19-Datos!Q19+R19)/(Datos!R19-Datos!P19+Datos!Q19-R19)),(Datos!P19-Datos!Q19+R19)/(Datos!R19-Datos!P19+Datos!Q19-R19)," - ")</f>
        <v>1.3181019332161687E-3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472.84987046630351</v>
      </c>
      <c r="G21" s="552">
        <f>IF(ISNUMBER(STDEV(G8:G18)),STDEV(G8:G18),"-")</f>
        <v>435.50602751282327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466.18858844892372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110.54049031915862</v>
      </c>
      <c r="BD21" s="551"/>
      <c r="BE21" s="551">
        <f>IF(ISNUMBER(STDEV(BE8:BE18)),STDEV(BE8:BE18),"-")</f>
        <v>0</v>
      </c>
      <c r="BF21" s="556">
        <f>IF(ISNUMBER(STDEV(BF8:BF18)),STDEV(BF8:BF18),"-")</f>
        <v>0</v>
      </c>
      <c r="BG21" s="775">
        <f>IF(ISNUMBER(STDEV(BG8:BG18)),STDEV(BG8:BG18),"-")</f>
        <v>0.16897023576818915</v>
      </c>
      <c r="BH21" s="776">
        <f>IF(ISNUMBER(STDEV(BH8:BH18)),STDEV(BH8:BH18),"-")</f>
        <v>2.5216458681667171</v>
      </c>
      <c r="BI21" s="249">
        <f>IF(ISNUMBER(STDEV(BI8:BI18)),STDEV(BI8:BI18),"-")</f>
        <v>5.3672390589258094E-2</v>
      </c>
      <c r="BJ21" s="230" t="str">
        <f>IF(ISNUMBER(BL21/BM21),BL21/BM21," - ")</f>
        <v xml:space="preserve"> - </v>
      </c>
      <c r="BK21" s="575"/>
      <c r="BL21" s="559">
        <f>IF(ISNUMBER(STDEV(BL8:BL18)),STDEV(BL8:BL18),"-")</f>
        <v>0.49443210290169176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CJUK5WKSi42mmnBN2rN+8Wld6FGyRMP56iUx7g/v266oqngDZVdejaU8MLErGCcHeGVQZv67nLRm/BDzFfWaAA==" saltValue="ufGhAjEZ7U7NBYwEDXQQ1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POZUELO DE ALARCON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3</v>
      </c>
      <c r="AA10" s="332">
        <f>IF(ISNUMBER(Datos!L10),Datos!L10,"-")</f>
        <v>29</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7.9090909090909092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202</v>
      </c>
      <c r="AA12" s="332" t="str">
        <f>IF(ISNUMBER(IF(J_V="SI",Datos!L12,Datos!L12+Datos!AB12)-IF(Monitorios="SI",Datos!CD12,0)),
                          IF(J_V="SI",Datos!L12,Datos!L12+Datos!AB12)-IF(Monitorios="SI",Datos!CD12,0),
                          " - ")</f>
        <v xml:space="preserve"> - </v>
      </c>
      <c r="AB12" s="334"/>
      <c r="AC12" s="334"/>
      <c r="AD12" s="484"/>
      <c r="AE12" s="484">
        <f>IF(ISNUMBER(Datos!R12),Datos!R12," - ")</f>
        <v>2206</v>
      </c>
      <c r="AF12" s="229" t="str">
        <f>IF(ISNUMBER(Datos!BV12),Datos!BV12," - ")</f>
        <v xml:space="preserve"> - </v>
      </c>
      <c r="AG12" s="225" t="str">
        <f>IF(ISNUMBER(Datos!DV12),Datos!DV12," - ")</f>
        <v xml:space="preserve"> - </v>
      </c>
      <c r="AH12" s="298"/>
      <c r="AI12" s="227"/>
      <c r="AJ12" s="225">
        <f>IF(ISNUMBER(Datos!M12),Datos!M12," - ")</f>
        <v>245</v>
      </c>
      <c r="AK12" s="229">
        <f>IF(ISNUMBER(Datos!N12),Datos!N12," - ")</f>
        <v>704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5.4059829059829054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-4.5310376076121433E-4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206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205</v>
      </c>
      <c r="AA13" s="900">
        <f t="shared" si="2"/>
        <v>29</v>
      </c>
      <c r="AB13" s="900">
        <f t="shared" si="2"/>
        <v>0</v>
      </c>
      <c r="AC13" s="900">
        <f t="shared" si="2"/>
        <v>0</v>
      </c>
      <c r="AD13" s="900">
        <f t="shared" si="2"/>
        <v>0</v>
      </c>
      <c r="AE13" s="900">
        <f t="shared" si="2"/>
        <v>2216</v>
      </c>
      <c r="AF13" s="908">
        <f t="shared" si="2"/>
        <v>0</v>
      </c>
      <c r="AG13" s="908">
        <f t="shared" si="2"/>
        <v>0</v>
      </c>
      <c r="AH13" s="908">
        <f t="shared" si="2"/>
        <v>0</v>
      </c>
      <c r="AI13" s="908">
        <f t="shared" si="2"/>
        <v>0</v>
      </c>
      <c r="AJ13" s="908">
        <f t="shared" si="2"/>
        <v>249</v>
      </c>
      <c r="AK13" s="908">
        <f t="shared" si="2"/>
        <v>708</v>
      </c>
      <c r="AL13" s="908">
        <f t="shared" si="2"/>
        <v>0</v>
      </c>
      <c r="AM13" s="908">
        <f t="shared" si="2"/>
        <v>0</v>
      </c>
      <c r="AN13" s="908">
        <f t="shared" si="2"/>
        <v>0</v>
      </c>
      <c r="AO13" s="904">
        <f>IF(ISNUMBER(((NºAsuntos!I13/NºAsuntos!G13)*11)/factor_trimestre),((NºAsuntos!I13/NºAsuntos!G13)*11)/factor_trimestre," - ")</f>
        <v>5.425441696113074</v>
      </c>
      <c r="AP13" s="910" t="str">
        <f>IF(ISNUMBER(Datos!CI13/Datos!CJ13),Datos!CI13/Datos!CJ13," - ")</f>
        <v xml:space="preserve"> - </v>
      </c>
      <c r="AQ13" s="928">
        <f t="shared" ref="AQ13:AV13" si="3">SUBTOTAL(9,AQ9:AQ12)</f>
        <v>0</v>
      </c>
      <c r="AR13" s="928">
        <f t="shared" si="3"/>
        <v>0.24954689623923879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847</v>
      </c>
      <c r="G16" s="225">
        <f>IF(ISNUMBER(IF(D_I="SI",Datos!I16,Datos!I16+Datos!AC16)),IF(D_I="SI",Datos!I16,Datos!I16+Datos!AC16)," - ")</f>
        <v>804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841</v>
      </c>
      <c r="Z16" s="619">
        <f>IF(ISNUMBER(Datos!Q16),Datos!Q16," - ")</f>
        <v>19</v>
      </c>
      <c r="AA16" s="332">
        <f>IF(ISNUMBER(IF(D_I="SI",Datos!L16,Datos!L16+Datos!AF16)),IF(D_I="SI",Datos!L16,Datos!L16+Datos!AF16)," - ")</f>
        <v>801</v>
      </c>
      <c r="AB16" s="334"/>
      <c r="AC16" s="334"/>
      <c r="AD16" s="484"/>
      <c r="AE16" s="484">
        <f>IF(ISNUMBER(Datos!R16),Datos!R16," - ")</f>
        <v>56</v>
      </c>
      <c r="AF16" s="229" t="str">
        <f>IF(ISNUMBER(Datos!BV16),Datos!BV16," - ")</f>
        <v xml:space="preserve"> - </v>
      </c>
      <c r="AG16" s="225"/>
      <c r="AH16" s="298"/>
      <c r="AI16" s="227"/>
      <c r="AJ16" s="225">
        <f>IF(ISNUMBER(Datos!M16),Datos!M16," - ")</f>
        <v>82</v>
      </c>
      <c r="AK16" s="229">
        <f>IF(ISNUMBER(Datos!N16),Datos!N16," - ")</f>
        <v>523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2.8573127229488704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84</v>
      </c>
      <c r="Z17" s="619">
        <f>IF(ISNUMBER(Datos!Q17),Datos!Q17," - ")</f>
        <v>0</v>
      </c>
      <c r="AA17" s="332">
        <f>IF(ISNUMBER(Datos!L17),Datos!L17,"-")</f>
        <v>29</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5</v>
      </c>
      <c r="AK17" s="229">
        <f>IF(ISNUMBER(Datos!N17),Datos!N17," - ")</f>
        <v>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1.0357142857142858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847</v>
      </c>
      <c r="G18" s="898">
        <f>SUBTOTAL(9,G15:G17)</f>
        <v>857</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925</v>
      </c>
      <c r="Z18" s="932">
        <f t="shared" si="5"/>
        <v>19</v>
      </c>
      <c r="AA18" s="932">
        <f t="shared" si="5"/>
        <v>830</v>
      </c>
      <c r="AB18" s="932">
        <f t="shared" si="5"/>
        <v>0</v>
      </c>
      <c r="AC18" s="932">
        <f t="shared" si="5"/>
        <v>0</v>
      </c>
      <c r="AD18" s="932">
        <f t="shared" si="5"/>
        <v>0</v>
      </c>
      <c r="AE18" s="932">
        <f t="shared" si="5"/>
        <v>63</v>
      </c>
      <c r="AF18" s="932">
        <f t="shared" si="5"/>
        <v>0</v>
      </c>
      <c r="AG18" s="932">
        <f t="shared" si="5"/>
        <v>0</v>
      </c>
      <c r="AH18" s="932">
        <f t="shared" si="5"/>
        <v>0</v>
      </c>
      <c r="AI18" s="932">
        <f t="shared" si="5"/>
        <v>0</v>
      </c>
      <c r="AJ18" s="932">
        <f t="shared" si="5"/>
        <v>87</v>
      </c>
      <c r="AK18" s="932">
        <f t="shared" si="5"/>
        <v>570</v>
      </c>
      <c r="AL18" s="932">
        <f t="shared" si="5"/>
        <v>0</v>
      </c>
      <c r="AM18" s="932">
        <f t="shared" si="5"/>
        <v>0</v>
      </c>
      <c r="AN18" s="932">
        <f t="shared" si="5"/>
        <v>0</v>
      </c>
      <c r="AO18" s="934">
        <f>IF(ISNUMBER(((NºAsuntos!I18/NºAsuntos!G18)*11)/factor_trimestre),((NºAsuntos!I18/NºAsuntos!G18)*11)/factor_trimestre," - ")</f>
        <v>2.6918918918918924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875</v>
      </c>
      <c r="G19" s="820">
        <f t="shared" si="7"/>
        <v>885</v>
      </c>
      <c r="H19" s="821">
        <f t="shared" si="7"/>
        <v>0</v>
      </c>
      <c r="I19" s="820">
        <f t="shared" si="7"/>
        <v>0</v>
      </c>
      <c r="J19" s="822">
        <f t="shared" si="7"/>
        <v>0</v>
      </c>
      <c r="K19" s="820">
        <f t="shared" si="7"/>
        <v>0</v>
      </c>
      <c r="L19" s="823">
        <f t="shared" si="7"/>
        <v>0</v>
      </c>
      <c r="M19" s="820">
        <f t="shared" si="7"/>
        <v>0</v>
      </c>
      <c r="N19" s="821">
        <f t="shared" si="7"/>
        <v>227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936</v>
      </c>
      <c r="Z19" s="827">
        <f t="shared" si="8"/>
        <v>224</v>
      </c>
      <c r="AA19" s="828">
        <f t="shared" si="8"/>
        <v>859</v>
      </c>
      <c r="AB19" s="828">
        <f t="shared" si="8"/>
        <v>0</v>
      </c>
      <c r="AC19" s="828">
        <f t="shared" si="8"/>
        <v>0</v>
      </c>
      <c r="AD19" s="829">
        <f t="shared" si="8"/>
        <v>0</v>
      </c>
      <c r="AE19" s="829">
        <f t="shared" si="8"/>
        <v>2279</v>
      </c>
      <c r="AF19" s="830">
        <f t="shared" si="8"/>
        <v>0</v>
      </c>
      <c r="AG19" s="831">
        <f t="shared" si="8"/>
        <v>0</v>
      </c>
      <c r="AH19" s="832">
        <f t="shared" si="8"/>
        <v>0</v>
      </c>
      <c r="AI19" s="830">
        <f t="shared" si="8"/>
        <v>0</v>
      </c>
      <c r="AJ19" s="820">
        <f t="shared" si="8"/>
        <v>336</v>
      </c>
      <c r="AK19" s="820">
        <f t="shared" si="8"/>
        <v>1278</v>
      </c>
      <c r="AL19" s="820">
        <f t="shared" si="8"/>
        <v>0</v>
      </c>
      <c r="AM19" s="833">
        <f t="shared" si="8"/>
        <v>0</v>
      </c>
      <c r="AN19" s="823">
        <f>IF(ISNUMBER(Datos!K19/Datos!J19),Datos!K19/Datos!J19," - ")</f>
        <v>1.028464769015399</v>
      </c>
      <c r="AO19" s="823">
        <f>IF(ISNUMBER(FIND("06",Criterios!A8,1)),(IF(ISNUMBER(((Datos!R19/Datos!Q19)*11)/factor_trimestre),((Datos!R19/Datos!Q19)*11)/factor_trimestre," - ")),(IF(ISNUMBER(((Datos!L19/Datos!K19)*11)/factor_trimestre),((Datos!L19/Datos!K19)*11)/factor_trimestre," - ")))</f>
        <v>4.490471869328494</v>
      </c>
      <c r="AP19" s="834" t="str">
        <f>IF(ISNUMBER(Datos!CI19/Datos!CJ19),Datos!CI19/Datos!CJ19," - ")</f>
        <v xml:space="preserve"> - </v>
      </c>
      <c r="AQ19" s="834">
        <f>IF(OR(ISNUMBER(FIND("01",Criterios!A8,1)),ISNUMBER(FIND("02",Criterios!A8,1)),ISNUMBER(FIND("03",Criterios!A8,1)),ISNUMBER(FIND("04",Criterios!A8,1))),(J19-Y19+K19)/(F19-K19),(I19-Y19+K19)/(F19-K19))</f>
        <v>-1.0697142857142856</v>
      </c>
      <c r="AR19" s="834">
        <f>IF(ISNUMBER((Datos!P19-Datos!Q19+O19)/(Datos!R19-Datos!P19+Datos!Q19-O19)),(Datos!P19-Datos!Q19+O19)/(Datos!R19-Datos!P19+Datos!Q19-O19)," - ")</f>
        <v>1.3181019332161687E-3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472.84987046630351</v>
      </c>
      <c r="G21" s="552">
        <f>IF(ISNUMBER(STDEV(G8:G18)),STDEV(G8:G18),"-")</f>
        <v>435.50602751282327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110.54049031915862</v>
      </c>
      <c r="AK21" s="252"/>
      <c r="AL21" s="252">
        <f>IF(ISNUMBER(STDEV(AL8:AL18)),STDEV(AL8:AL18),"-")</f>
        <v>0</v>
      </c>
      <c r="AM21" s="254">
        <f>IF(ISNUMBER(STDEV(AM8:AM18)),STDEV(AM8:AM18),"-")</f>
        <v>0</v>
      </c>
      <c r="AN21" s="539">
        <f>IF(ISNUMBER(STDEV(AN8:AN18)),STDEV(AN8:AN18),"-")</f>
        <v>0</v>
      </c>
      <c r="AO21" s="540">
        <f>IF(ISNUMBER(STDEV(AO8:AO18)),STDEV(AO8:AO18),"-")</f>
        <v>2.4819644826111911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yF+s3b+e2CaQKc+zdIXfSp0alS0aA4axW4GkUUPvlcBuFMNJMSG9sd3/Akpsp2+OLzaVKUCPmvIemRRE2kvUA==" saltValue="Q5w/qgHgLdq+kCnZ04YY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6i0WeQZuIb9JeDsKcevHimQLVMgOxTPjM8+ay1oAb+FwG95efuBL2K06nwI1/SV2ZXUhHptb7MjRlV7fF28XA==" saltValue="eAJap/HmWaHcepbOq6FP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rypUlTROflKjZTkdKJcAoO50tjiH8aPqlG+SlhY2ITNCS+OPrn03rFzXvkAsV962Yo4oilwr996HHxJ269psg==" saltValue="GvMttyvwWc6bTxQ/pgET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POZUELO DE ALARCON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0.17597173144876324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0.12443080460455853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cRUDfA8V3ec9TNhn0I7FNcDEGqE9Tv3R98bCQt9K772g0lEsACypJAu0VeMLUtazY8k5FhE98HntIT09wthQg==" saltValue="aad8+mthBge6gQ/EmrS7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k++Mxvgr2y1fL5LP0Brd9zYgLdNEYUj1JvWsdMoq0IjbmoXsuK2i1R3MB1WPh4rbrtiPYAm5m6ZQ9wtKV5QTQ==" saltValue="SrVMklQgTzIusHunfyqa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POZUELO DE ALARCON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12</v>
      </c>
      <c r="F10" s="404">
        <f>IF(ISNUMBER(E10/B10),E10/B10," - ")</f>
        <v>12</v>
      </c>
      <c r="G10" s="403">
        <f>IF(ISNUMBER(Datos!K10),Datos!K10," - ")</f>
        <v>11</v>
      </c>
      <c r="H10" s="404">
        <f>IF(ISNUMBER(G10/B10),G10/B10," - ")</f>
        <v>11</v>
      </c>
      <c r="I10" s="403">
        <f>IF(ISNUMBER(Datos!L10),Datos!L10," - ")</f>
        <v>29</v>
      </c>
      <c r="J10" s="404">
        <f>IF(ISNUMBER(I10/B10),I10/B10," - ")</f>
        <v>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2536</v>
      </c>
      <c r="D12" s="404">
        <f>IF(ISNUMBER(C12/Datos!BH12),C12/Datos!BH12," - ")</f>
        <v>634</v>
      </c>
      <c r="E12" s="403">
        <f>IF(ISNUMBER(IF(J_V="SI",Datos!J12,Datos!J12+Datos!Z12)),IF(J_V="SI",Datos!J12,Datos!J12+Datos!Z12)," - ")</f>
        <v>1398</v>
      </c>
      <c r="F12" s="404">
        <f>IF(ISNUMBER(E12/B12),E12/B12," - ")</f>
        <v>349.5</v>
      </c>
      <c r="G12" s="403">
        <f>IF(ISNUMBER(IF(J_V="SI",Datos!K12,Datos!K12+Datos!AA12)),IF(J_V="SI",Datos!K12,Datos!K12+Datos!AA12)," - ")</f>
        <v>1404</v>
      </c>
      <c r="H12" s="404">
        <f>IF(ISNUMBER(G12/B12),G12/B12," - ")</f>
        <v>351</v>
      </c>
      <c r="I12" s="403">
        <f>IF(ISNUMBER(IF(J_V="SI",Datos!L12,Datos!L12+Datos!AB12)),IF(J_V="SI",Datos!L12,Datos!L12+Datos!AB12)," - ")</f>
        <v>2530</v>
      </c>
      <c r="J12" s="404">
        <f>IF(ISNUMBER(I12/B12),I12/B12," - ")</f>
        <v>632.5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2564</v>
      </c>
      <c r="D13" s="850" t="str">
        <f>IF(ISNUMBER(C13/Datos!BI13),C13/Datos!BI13," - ")</f>
        <v xml:space="preserve"> - </v>
      </c>
      <c r="E13" s="849">
        <f>SUBTOTAL(9,E8:E12)</f>
        <v>1410</v>
      </c>
      <c r="F13" s="850">
        <f>IF(ISNUMBER(E13/B13),E13/B13," - ")</f>
        <v>352.5</v>
      </c>
      <c r="G13" s="849">
        <f>SUBTOTAL(9,G8:G12)</f>
        <v>1415</v>
      </c>
      <c r="H13" s="850">
        <f>IF(ISNUMBER(G13/B13),G13/B13," - ")</f>
        <v>353.75</v>
      </c>
      <c r="I13" s="849">
        <f>SUBTOTAL(9,I8:I12)</f>
        <v>2559</v>
      </c>
      <c r="J13" s="850">
        <f>IF(ISNUMBER(I13/B13),I13/B13," - ")</f>
        <v>639.75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804</v>
      </c>
      <c r="D16" s="404">
        <f>IF(ISNUMBER(C16/Datos!BH16),C16/Datos!BH16," - ")</f>
        <v>201</v>
      </c>
      <c r="E16" s="403">
        <f>IF(ISNUMBER(IF(D_I="SI",Datos!J16,Datos!J16+Datos!AD16)),IF(D_I="SI",Datos!J16,Datos!J16+Datos!AD16)," - ")</f>
        <v>795</v>
      </c>
      <c r="F16" s="404">
        <f>IF(ISNUMBER(E16/B16),E16/B16," - ")</f>
        <v>198.75</v>
      </c>
      <c r="G16" s="403">
        <f>IF(ISNUMBER(IF(D_I="SI",Datos!K16,Datos!K16+Datos!AE16)),IF(D_I="SI",Datos!K16,Datos!K16+Datos!AE16)," - ")</f>
        <v>841</v>
      </c>
      <c r="H16" s="404">
        <f>IF(ISNUMBER(G16/B16),G16/B16," - ")</f>
        <v>210.25</v>
      </c>
      <c r="I16" s="403">
        <f>IF(ISNUMBER(IF(D_I="SI",Datos!L16,Datos!L16+Datos!AF16)),IF(D_I="SI",Datos!L16,Datos!L16+Datos!AF16)," - ")</f>
        <v>801</v>
      </c>
      <c r="J16" s="404">
        <f>IF(ISNUMBER(I16/B16),I16/B16," - ")</f>
        <v>200.25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60</v>
      </c>
      <c r="F17" s="404">
        <f>IF(ISNUMBER(E17/B17),E17/B17," - ")</f>
        <v>60</v>
      </c>
      <c r="G17" s="403">
        <f>IF(ISNUMBER(IF(D_I="SI",Datos!K17,Datos!K17+Datos!AE17)),IF(D_I="SI",Datos!K17,Datos!K17+Datos!AE17)," - ")</f>
        <v>84</v>
      </c>
      <c r="H17" s="404">
        <f>IF(ISNUMBER(G17/B17),G17/B17," - ")</f>
        <v>84</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857</v>
      </c>
      <c r="D18" s="850" t="str">
        <f>IF(ISNUMBER(C18/Datos!BI18),C18/Datos!BI18," - ")</f>
        <v xml:space="preserve"> - </v>
      </c>
      <c r="E18" s="849">
        <f>SUBTOTAL(9,E14:E17)</f>
        <v>855</v>
      </c>
      <c r="F18" s="850">
        <f>IF(ISNUMBER(E18/B18),E18/B18," - ")</f>
        <v>213.75</v>
      </c>
      <c r="G18" s="849">
        <f>SUBTOTAL(9,G14:G17)</f>
        <v>925</v>
      </c>
      <c r="H18" s="850">
        <f>IF(ISNUMBER(G18/B18),G18/B18," - ")</f>
        <v>231.25</v>
      </c>
      <c r="I18" s="849">
        <f>SUBTOTAL(9,I14:I17)</f>
        <v>830</v>
      </c>
      <c r="J18" s="850">
        <f>IF(ISNUMBER(I18/B18),I18/B18," - ")</f>
        <v>207.5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3421</v>
      </c>
      <c r="D19" s="795" t="str">
        <f>IF(ISNUMBER(C19/Datos!BI19),C19/Datos!BI19," - ")</f>
        <v xml:space="preserve"> - </v>
      </c>
      <c r="E19" s="794">
        <f>SUBTOTAL(9,E9:E18)</f>
        <v>2265</v>
      </c>
      <c r="F19" s="795">
        <f>IF(ISNUMBER(E19/B19),E19/B19," - ")</f>
        <v>566.25</v>
      </c>
      <c r="G19" s="794">
        <f>SUBTOTAL(9,G9:G18)</f>
        <v>2340</v>
      </c>
      <c r="H19" s="795">
        <f>IF(ISNUMBER(G19/B19),G19/B19," - ")</f>
        <v>585</v>
      </c>
      <c r="I19" s="794">
        <f>SUBTOTAL(9,I9:I18)</f>
        <v>3389</v>
      </c>
      <c r="J19" s="795">
        <f>IF(ISNUMBER(I19/B19),I19/B19," - ")</f>
        <v>847.25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g1sl4bZo+T7hEAkCy4qIUDOTmkngdMK4l6smFO5sKNVrq2aa07Za1VgVhGZxaA+ApXj7bRuV+QFz9SAbicMBQ==" saltValue="dkPBY8G8FLdr8lTYBdRt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POZUELO DE ALARCON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29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7.9090909090909092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245</v>
      </c>
      <c r="AM12" s="690">
        <f>IF(ISNUMBER(Datos!N12+DatosP!N16),Datos!N12+DatosP!N16," - ")</f>
        <v>704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5.4059829059829054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-4.5310376076121433E-4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206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202</v>
      </c>
      <c r="AE13" s="939">
        <f t="shared" si="1"/>
        <v>0</v>
      </c>
      <c r="AF13" s="939">
        <f t="shared" si="1"/>
        <v>29</v>
      </c>
      <c r="AG13" s="939">
        <f t="shared" si="1"/>
        <v>0</v>
      </c>
      <c r="AH13" s="939">
        <f t="shared" si="1"/>
        <v>2206</v>
      </c>
      <c r="AI13" s="939">
        <f t="shared" si="1"/>
        <v>0</v>
      </c>
      <c r="AJ13" s="939">
        <f t="shared" si="1"/>
        <v>0</v>
      </c>
      <c r="AK13" s="939">
        <f t="shared" si="1"/>
        <v>0</v>
      </c>
      <c r="AL13" s="939">
        <f t="shared" si="1"/>
        <v>249</v>
      </c>
      <c r="AM13" s="939">
        <f t="shared" si="1"/>
        <v>708</v>
      </c>
      <c r="AN13" s="939">
        <f t="shared" si="1"/>
        <v>0</v>
      </c>
      <c r="AO13" s="939">
        <f t="shared" si="1"/>
        <v>0</v>
      </c>
      <c r="AP13" s="944">
        <f>IF(ISNUMBER(((Datos!L13/Datos!K13)*11)/factor_trimestre),((Datos!L13/Datos!K13)*11)/factor_trimestre," - ")</f>
        <v>5.791243158717748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-0.39285714285714285</v>
      </c>
      <c r="AU13" s="939" t="str">
        <f>IF(ISNUMBER((DatosP!#REF!-DatosP!#REF!+DatosP!#REF!)/(DatosP!#REF!+DatosP!#REF!-DatosP!#REF!-DatosP!#REF!)),(DatosP!#REF!-DatosP!#REF!+DatosP!#REF!)/(DatosP!#REF!+DatosP!#REF!-DatosP!#REF!-DatosP!#REF!)," - ")</f>
        <v xml:space="preserve"> - </v>
      </c>
      <c r="AV13" s="945">
        <f>SUBTOTAL(9,AV9:AV12)</f>
        <v>-4.5310376076121433E-4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2.6918918918918924</v>
      </c>
      <c r="AQ18" s="944">
        <f>IF(ISNUMBER(((Datos!M18/Datos!L18)*11)/factor_trimestre),((Datos!M18/Datos!L18)*11)/factor_trimestre," - ")</f>
        <v>0.3144578313253012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3.2786885245901641E-2</v>
      </c>
      <c r="AW18" s="946">
        <f>IF(ISNUMBER((Datos!Q18-Datos!R18)/(Datos!S18-Datos!Q18+Datos!R18)),(Datos!Q18-Datos!R18)/(Datos!S18-Datos!Q18+Datos!R18)," - ")</f>
        <v>-5.4862842892768077E-2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206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202</v>
      </c>
      <c r="AE19" s="957">
        <f t="shared" si="5"/>
        <v>0</v>
      </c>
      <c r="AF19" s="958">
        <f t="shared" si="5"/>
        <v>29</v>
      </c>
      <c r="AG19" s="958">
        <f t="shared" si="5"/>
        <v>0</v>
      </c>
      <c r="AH19" s="958">
        <f t="shared" si="5"/>
        <v>2206</v>
      </c>
      <c r="AI19" s="958">
        <f t="shared" si="5"/>
        <v>0</v>
      </c>
      <c r="AJ19" s="959">
        <f t="shared" si="5"/>
        <v>0</v>
      </c>
      <c r="AK19" s="959">
        <f t="shared" si="5"/>
        <v>0</v>
      </c>
      <c r="AL19" s="951">
        <f t="shared" si="5"/>
        <v>249</v>
      </c>
      <c r="AM19" s="951">
        <f t="shared" si="5"/>
        <v>708</v>
      </c>
      <c r="AN19" s="951">
        <f t="shared" si="5"/>
        <v>0</v>
      </c>
      <c r="AO19" s="951">
        <f t="shared" si="5"/>
        <v>0</v>
      </c>
      <c r="AP19" s="951">
        <f>IF(ISNUMBER(((Datos!L19/Datos!K19)*11)/factor_trimestre),((Datos!L19/Datos!K19)*11)/factor_trimestre," - ")</f>
        <v>4.490471869328494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-0.39285714285714285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1.3181019332161687E-3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141.46966694902008</v>
      </c>
      <c r="AM21" s="736"/>
      <c r="AN21" s="736">
        <f>IF(ISNUMBER(STDEV(AN8:AN18)),STDEV(AN8:AN18),"-")</f>
        <v>0</v>
      </c>
      <c r="AO21" s="742">
        <f>IF(ISNUMBER(STDEV(AO8:AO18)),STDEV(AO8:AO18),"-")</f>
        <v>0</v>
      </c>
      <c r="AP21" s="779">
        <f>IF(ISNUMBER(STDEV(AP8:AP18)),STDEV(AP8:AP18),"-")</f>
        <v>2.1426363846969827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0qN/B7W3qg09UmrV8aOrRPJ4RjQ54D6b22KC+Y0XW844qiXSYm7vHqMxKM5xlIcJ56O4IHS2qYD8pzlNk3ZBKA==" saltValue="SezrGRoYY4LcEkUb0tCwB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POZUELO DE ALARCON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So9TpwlWP8lZTxyoxemWbmiHua972wbigmg0QE9K4SLQIkVQxQQ4MM37jwAZVPyaJ03vOae5k9aL1Xcta6efg==" saltValue="vGVlM2WRJNqxFx7y/kXY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POZUELO DE ALARCON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4</v>
      </c>
      <c r="G10" s="404">
        <f>IF(ISNUMBER(F10/B10),F10/B10," - ")</f>
        <v>4</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245</v>
      </c>
      <c r="E12" s="404">
        <f t="shared" si="0"/>
        <v>61.25</v>
      </c>
      <c r="F12" s="403">
        <f>IF(ISNUMBER(Datos!N12),Datos!N12," - ")</f>
        <v>704</v>
      </c>
      <c r="G12" s="404">
        <f t="shared" si="1"/>
        <v>176</v>
      </c>
      <c r="H12" s="403">
        <f>IF(ISNUMBER(Datos!O12),Datos!O12," - ")</f>
        <v>470</v>
      </c>
      <c r="I12" s="404">
        <f t="shared" si="2"/>
        <v>117.5</v>
      </c>
      <c r="BZ12" s="1186">
        <f>Datos!EZ12</f>
        <v>0</v>
      </c>
    </row>
    <row r="13" spans="1:78" ht="14.25" thickTop="1" thickBot="1">
      <c r="A13" s="848" t="str">
        <f>Datos!A13</f>
        <v>TOTAL</v>
      </c>
      <c r="B13" s="849">
        <f>Datos!AP13</f>
        <v>4</v>
      </c>
      <c r="C13" s="851">
        <f>Datos!AR13</f>
        <v>4</v>
      </c>
      <c r="D13" s="849">
        <f>SUBTOTAL(9,D9:D12)</f>
        <v>249</v>
      </c>
      <c r="E13" s="850">
        <f t="shared" si="0"/>
        <v>62.25</v>
      </c>
      <c r="F13" s="849">
        <f>SUBTOTAL(9,F9:F12)</f>
        <v>708</v>
      </c>
      <c r="G13" s="850">
        <f t="shared" si="1"/>
        <v>177</v>
      </c>
      <c r="H13" s="849">
        <f>SUBTOTAL(9,H9:H12)</f>
        <v>473</v>
      </c>
      <c r="I13" s="850">
        <f>IF(ISNUMBER(H13/B13),H13/B13," - ")</f>
        <v>118.25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82</v>
      </c>
      <c r="E16" s="404">
        <f t="shared" si="3"/>
        <v>20.5</v>
      </c>
      <c r="F16" s="403">
        <f>IF(ISNUMBER(Datos!N16),Datos!N16," - ")</f>
        <v>523</v>
      </c>
      <c r="G16" s="404">
        <f t="shared" si="4"/>
        <v>130.75</v>
      </c>
      <c r="H16" s="403">
        <f>IF(ISNUMBER(Datos!O16),Datos!O16," - ")</f>
        <v>8</v>
      </c>
      <c r="I16" s="404">
        <f t="shared" si="5"/>
        <v>2</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47</v>
      </c>
      <c r="G17" s="404">
        <f>IF(ISNUMBER(F17/B17),F17/B17," - ")</f>
        <v>47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87</v>
      </c>
      <c r="E18" s="850">
        <f t="shared" si="3"/>
        <v>21.75</v>
      </c>
      <c r="F18" s="849">
        <f>SUBTOTAL(9,F15:F17)</f>
        <v>570</v>
      </c>
      <c r="G18" s="850">
        <f t="shared" si="4"/>
        <v>142.5</v>
      </c>
      <c r="H18" s="849">
        <f>SUBTOTAL(9,H15:H17)</f>
        <v>8</v>
      </c>
      <c r="I18" s="850">
        <f>IF(ISNUMBER(H18/B18),H18/B18," - ")</f>
        <v>2</v>
      </c>
      <c r="BZ18" s="1186"/>
    </row>
    <row r="19" spans="1:78" ht="14.25" thickTop="1" thickBot="1">
      <c r="A19" s="793" t="str">
        <f>Datos!A19</f>
        <v>TOTAL JURISDICCIONES</v>
      </c>
      <c r="B19" s="794">
        <f>Datos!AP19</f>
        <v>4</v>
      </c>
      <c r="C19" s="794">
        <f>Datos!AR19</f>
        <v>4</v>
      </c>
      <c r="D19" s="794">
        <f>SUBTOTAL(9,D8:D18)</f>
        <v>336</v>
      </c>
      <c r="E19" s="795">
        <f>IF(ISNUMBER(D19/B19),D19/B19," - ")</f>
        <v>84</v>
      </c>
      <c r="F19" s="794">
        <f>SUBTOTAL(9,F8:F18)</f>
        <v>1278</v>
      </c>
      <c r="G19" s="795">
        <f>IF(ISNUMBER(F19/B19),F19/B19," - ")</f>
        <v>319.5</v>
      </c>
      <c r="H19" s="794">
        <f>SUBTOTAL(9,H8:H18)</f>
        <v>481</v>
      </c>
      <c r="I19" s="795">
        <f>IF(ISNUMBER(H19/B19),H19/B19," - ")</f>
        <v>120.25</v>
      </c>
    </row>
    <row r="22" spans="1:78">
      <c r="A22" s="391" t="str">
        <f>Criterios!A4</f>
        <v>Fecha Informe: 27 feb. 2025</v>
      </c>
    </row>
    <row r="27" spans="1:78">
      <c r="A27" s="414"/>
    </row>
  </sheetData>
  <sheetProtection algorithmName="SHA-512" hashValue="x1teMmcvB1J8VNmKQZhWezOgh+mbuXed229xMC0JMFYs3WhYfLn6YLkujuCnthXRZVgNPW2zhYSBdxSlVNy37w==" saltValue="l6ztRVPLdZfU0+Er3O3o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POZUELO DE ALARCON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3</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201</v>
      </c>
      <c r="C12" s="434">
        <f>IF(ISNUMBER(Datos!Q12),Datos!Q12," - ")</f>
        <v>202</v>
      </c>
      <c r="D12" s="408">
        <f>IF(ISNUMBER(Datos!R12),Datos!R12," - ")</f>
        <v>2206</v>
      </c>
    </row>
    <row r="13" spans="1:4" ht="14.25" thickTop="1" thickBot="1">
      <c r="A13" s="848" t="str">
        <f>Datos!A13</f>
        <v>TOTAL</v>
      </c>
      <c r="B13" s="849">
        <f>SUBTOTAL(9,B9:B12)</f>
        <v>206</v>
      </c>
      <c r="C13" s="853">
        <f>SUBTOTAL(9,C9:C12)</f>
        <v>205</v>
      </c>
      <c r="D13" s="851">
        <f>SUBTOTAL(9,D9:D12)</f>
        <v>2216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19</v>
      </c>
      <c r="D16" s="408">
        <f>IF(ISNUMBER(Datos!R16),Datos!R16," - ")</f>
        <v>56</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21</v>
      </c>
      <c r="C18" s="853">
        <f>SUBTOTAL(9,C15:C17)</f>
        <v>19</v>
      </c>
      <c r="D18" s="851">
        <f>SUBTOTAL(9,D15:D17)</f>
        <v>63</v>
      </c>
    </row>
    <row r="19" spans="1:4" ht="16.5" customHeight="1" thickTop="1" thickBot="1">
      <c r="A19" s="793" t="str">
        <f>Datos!A19</f>
        <v>TOTAL JURISDICCIONES</v>
      </c>
      <c r="B19" s="798">
        <f>SUBTOTAL(9,B8:B18)</f>
        <v>227</v>
      </c>
      <c r="C19" s="799">
        <f>SUBTOTAL(9,C8:C18)</f>
        <v>224</v>
      </c>
      <c r="D19" s="800">
        <f>SUBTOTAL(9,D8:D18)</f>
        <v>2279</v>
      </c>
    </row>
    <row r="20" spans="1:4" ht="7.5" customHeight="1"/>
    <row r="21" spans="1:4" ht="6" customHeight="1"/>
    <row r="22" spans="1:4">
      <c r="A22" s="391" t="str">
        <f>Criterios!A4</f>
        <v>Fecha Informe: 27 feb. 2025</v>
      </c>
    </row>
    <row r="27" spans="1:4">
      <c r="A27" s="414"/>
    </row>
  </sheetData>
  <sheetProtection algorithmName="SHA-512" hashValue="1U4AZZjZHdDWb1frfC6eFIeiSKuRuMjw/Yl65Aun7jkrUanuFZWumT8p+B16or+GGJJ9lzn+7kFHMJcEcM2lyg==" saltValue="u8udOxcoICpj3trWa25B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POZUELO DE ALARCON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4.5999999999999996</v>
      </c>
      <c r="C10" s="456">
        <f>IF(ISNUMBER((Datos!J10-Datos!T10)/Datos!T10),(Datos!J10-Datos!T10)/Datos!T10," - ")</f>
        <v>2</v>
      </c>
      <c r="D10" s="456">
        <f>IF(ISNUMBER((Datos!K10-Datos!U10)/Datos!U10),(Datos!K10-Datos!U10)/Datos!U10," - ")</f>
        <v>2.6666666666666665</v>
      </c>
      <c r="E10" s="456">
        <f>IF(ISNUMBER((Datos!L10-Datos!V10)/Datos!V10),(Datos!L10-Datos!V10)/Datos!V10," - ")</f>
        <v>3.8333333333333335</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0.22222222222222218</v>
      </c>
      <c r="I10" s="456">
        <f>IF(ISNUMBER(((NºAsuntos!I10/NºAsuntos!G10)-Datos!BE10)/Datos!BE10),((NºAsuntos!I10/NºAsuntos!G10)-Datos!BE10)/Datos!BE10," - ")</f>
        <v>0.31818181818181812</v>
      </c>
      <c r="J10" s="461">
        <f>IF(ISNUMBER((('Resol  Asuntos'!D10/NºAsuntos!G10)-Datos!BF10)/Datos!BF10),(('Resol  Asuntos'!D10/NºAsuntos!G10)-Datos!BF10)/Datos!BF10," - ")</f>
        <v>-0.63636363636363635</v>
      </c>
      <c r="K10" s="462">
        <f>IF(ISNUMBER((((NºAsuntos!C10+NºAsuntos!E10)/NºAsuntos!G10)-Datos!BG10)/Datos!BG10),(((NºAsuntos!C10+NºAsuntos!E10)/NºAsuntos!G10)-Datos!BG10)/Datos!BG10," - ")</f>
        <v>0.21212121212121207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1.3184178985217739E-2</v>
      </c>
      <c r="C12" s="456">
        <f>IF(ISNUMBER(
   IF(J_V="SI",(Datos!J12-Datos!T12)/Datos!T12,(Datos!J12+Datos!Z12-(Datos!T12+Datos!AH12))/(Datos!T12+Datos!AH12))
     ),IF(J_V="SI",(Datos!J12-Datos!T12)/Datos!T12,(Datos!J12+Datos!Z12-(Datos!T12+Datos!AH12))/(Datos!T12+Datos!AH12))," - ")</f>
        <v>0.26860254083484575</v>
      </c>
      <c r="D12" s="456">
        <f>IF(ISNUMBER(
   IF(J_V="SI",(Datos!K12-Datos!U12)/Datos!U12,(Datos!K12+Datos!AA12-(Datos!U12+Datos!AI12))/(Datos!U12+Datos!AI12))
     ),IF(J_V="SI",(Datos!K12-Datos!U12)/Datos!U12,(Datos!K12+Datos!AA12-(Datos!U12+Datos!AI12))/(Datos!U12+Datos!AI12))," - ")</f>
        <v>0.16805324459234608</v>
      </c>
      <c r="E12" s="456">
        <f>IF(ISNUMBER(
   IF(J_V="SI",(Datos!L12-Datos!V12)/Datos!V12,(Datos!L12+Datos!AB12-(Datos!V12+Datos!AJ12))/(Datos!V12+Datos!AJ12))
     ),IF(J_V="SI",(Datos!L12-Datos!V12)/Datos!V12,(Datos!L12+Datos!AB12-(Datos!V12+Datos!AJ12))/(Datos!V12+Datos!AJ12))," - ")</f>
        <v>5.4606085869112128E-2</v>
      </c>
      <c r="F12" s="456">
        <f>IF(ISNUMBER((Datos!M12-Datos!W12)/Datos!W12),(Datos!M12-Datos!W12)/Datos!W12," - ")</f>
        <v>0.28272251308900526</v>
      </c>
      <c r="G12" s="457">
        <f>IF(ISNUMBER((Datos!N12-Datos!X12)/Datos!X12),(Datos!N12-Datos!X12)/Datos!X12," - ")</f>
        <v>0.25044404973357015</v>
      </c>
      <c r="H12" s="455">
        <f>IF(ISNUMBER(((NºAsuntos!G12/NºAsuntos!E12)-Datos!BD12)/Datos!BD12),((NºAsuntos!G12/NºAsuntos!E12)-Datos!BD12)/Datos!BD12," - ")</f>
        <v>-7.9259888740511111E-2</v>
      </c>
      <c r="I12" s="456">
        <f>IF(ISNUMBER(((NºAsuntos!I12/NºAsuntos!G12)-Datos!BE12)/Datos!BE12),((NºAsuntos!I12/NºAsuntos!G12)-Datos!BE12)/Datos!BE12," - ")</f>
        <v>-9.7124989163338532E-2</v>
      </c>
      <c r="J12" s="461">
        <f>IF(ISNUMBER((('Resol  Asuntos'!D12/NºAsuntos!G12)-Datos!BF12)/Datos!BF12),(('Resol  Asuntos'!D12/NºAsuntos!G12)-Datos!BF12)/Datos!BF12," - ")</f>
        <v>-0.62744100843567974</v>
      </c>
      <c r="K12" s="462">
        <f>IF(ISNUMBER((((NºAsuntos!C12+NºAsuntos!E12)/NºAsuntos!G12)-Datos!BG12)/Datos!BG12),(((NºAsuntos!C12+NºAsuntos!E12)/NºAsuntos!G12)-Datos!BG12)/Datos!BG12," - ")</f>
        <v>-6.5742815257378323E-2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2.2328548644338118E-2</v>
      </c>
      <c r="C13" s="855">
        <f>IF(ISNUMBER(
   IF(J_V="SI",(Datos!J13-Datos!T13)/Datos!T13,(Datos!J13+Datos!Z13-(Datos!T13+Datos!AH13))/(Datos!T13+Datos!AH13))
     ),IF(J_V="SI",(Datos!J13-Datos!T13)/Datos!T13,(Datos!J13+Datos!Z13-(Datos!T13+Datos!AH13))/(Datos!T13+Datos!AH13))," - ")</f>
        <v>0.27486437613019893</v>
      </c>
      <c r="D13" s="855">
        <f>IF(ISNUMBER(
   IF(J_V="SI",(Datos!K13-Datos!U13)/Datos!U13,(Datos!K13+Datos!AA13-(Datos!U13+Datos!AI13))/(Datos!U13+Datos!AI13))
     ),IF(J_V="SI",(Datos!K13-Datos!U13)/Datos!U13,(Datos!K13+Datos!AA13-(Datos!U13+Datos!AI13))/(Datos!U13+Datos!AI13))," - ")</f>
        <v>0.17427385892116182</v>
      </c>
      <c r="E13" s="855">
        <f>IF(ISNUMBER(
   IF(J_V="SI",(Datos!L13-Datos!V13)/Datos!V13,(Datos!L13+Datos!AB13-(Datos!V13+Datos!AJ13))/(Datos!V13+Datos!AJ13))
     ),IF(J_V="SI",(Datos!L13-Datos!V13)/Datos!V13,(Datos!L13+Datos!AB13-(Datos!V13+Datos!AJ13))/(Datos!V13+Datos!AJ13))," - ")</f>
        <v>6.4033264033264037E-2</v>
      </c>
      <c r="F13" s="856">
        <f>IF(ISNUMBER((Datos!M13-Datos!W13)/Datos!W13),(Datos!M13-Datos!W13)/Datos!W13," - ")</f>
        <v>0.28350515463917525</v>
      </c>
      <c r="G13" s="857">
        <f>IF(ISNUMBER((Datos!N13-Datos!X13)/Datos!X13),(Datos!N13-Datos!X13)/Datos!X13," - ")</f>
        <v>0.25754884547069273</v>
      </c>
      <c r="H13" s="857">
        <f>IF(ISNUMBER(((NºAsuntos!G13/NºAsuntos!E13)-Datos!BD13)/Datos!BD13),((NºAsuntos!G13/NºAsuntos!E13)-Datos!BD13)/Datos!BD13," - ")</f>
        <v>-7.8902916335599302E-2</v>
      </c>
      <c r="I13" s="857">
        <f>IF(ISNUMBER(((NºAsuntos!I13/NºAsuntos!G13)-Datos!BE13)/Datos!BE13),((NºAsuntos!I13/NºAsuntos!G13)-Datos!BE13)/Datos!BE13," - ")</f>
        <v>-9.3879799886867024E-2</v>
      </c>
      <c r="J13" s="857">
        <f>IF(ISNUMBER((('Resol  Asuntos'!D13/NºAsuntos!G13)-Datos!BF13)/Datos!BF13),(('Resol  Asuntos'!D13/NºAsuntos!G13)-Datos!BF13)/Datos!BF13," - ")</f>
        <v>-0.62536053640325151</v>
      </c>
      <c r="K13" s="857">
        <f>IF(ISNUMBER((((NºAsuntos!C13+NºAsuntos!E13)/NºAsuntos!G13)-Datos!BG13)/Datos!BG13),(((NºAsuntos!C13+NºAsuntos!E13)/NºAsuntos!G13)-Datos!BG13)/Datos!BG13," - ")</f>
        <v>-6.3580774412815566E-2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0.102880658436214</v>
      </c>
      <c r="C16" s="456">
        <f>IF(ISNUMBER(
   IF(D_I="SI",(Datos!J16-Datos!T16)/Datos!T16,(Datos!J16+Datos!AD16-(Datos!T16+Datos!AL16))/(Datos!T16+Datos!AL16))
     ),IF(D_I="SI",(Datos!J16-Datos!T16)/Datos!T16,(Datos!J16+Datos!AD16-(Datos!T16+Datos!AL16))/(Datos!T16+Datos!AL16))," - ")</f>
        <v>-6.799531066822978E-2</v>
      </c>
      <c r="D16" s="456">
        <f>IF(ISNUMBER(
   IF(D_I="SI",(Datos!K16-Datos!U16)/Datos!U16,(Datos!K16+Datos!AE16-(Datos!U16+Datos!AM16))/(Datos!U16+Datos!AM16))
     ),IF(D_I="SI",(Datos!K16-Datos!U16)/Datos!U16,(Datos!K16+Datos!AE16-(Datos!U16+Datos!AM16))/(Datos!U16+Datos!AM16))," - ")</f>
        <v>8.3932853717026377E-3</v>
      </c>
      <c r="E16" s="456">
        <f>IF(ISNUMBER(
   IF(D_I="SI",(Datos!L16-Datos!V16)/Datos!V16,(Datos!L16+Datos!AF16-(Datos!V16+Datos!AN16))/(Datos!V16+Datos!AN16))
     ),IF(D_I="SI",(Datos!L16-Datos!V16)/Datos!V16,(Datos!L16+Datos!AF16-(Datos!V16+Datos!AN16))/(Datos!V16+Datos!AN16))," - ")</f>
        <v>4.4328552803129077E-2</v>
      </c>
      <c r="F16" s="456">
        <f>IF(ISNUMBER((Datos!M16-Datos!W16)/Datos!W16),(Datos!M16-Datos!W16)/Datos!W16," - ")</f>
        <v>-0.2807017543859649</v>
      </c>
      <c r="G16" s="457">
        <f>IF(ISNUMBER((Datos!N16-Datos!X16)/Datos!X16),(Datos!N16-Datos!X16)/Datos!X16," - ")</f>
        <v>-4.2124542124542128E-2</v>
      </c>
      <c r="H16" s="455">
        <f>IF(ISNUMBER(((NºAsuntos!G16/NºAsuntos!E16)-Datos!BD16)/Datos!BD16),((NºAsuntos!G16/NºAsuntos!E16)-Datos!BD16)/Datos!BD16," - ")</f>
        <v>8.1961600530896045E-2</v>
      </c>
      <c r="I16" s="456">
        <f>IF(ISNUMBER(((NºAsuntos!I16/NºAsuntos!G16)-Datos!BE16)/Datos!BE16),((NºAsuntos!I16/NºAsuntos!G16)-Datos!BE16)/Datos!BE16," - ")</f>
        <v>3.5636162946265912E-2</v>
      </c>
      <c r="J16" s="461">
        <f>IF(ISNUMBER((('Resol  Asuntos'!D16/NºAsuntos!G16)-Datos!BF16)/Datos!BF16),(('Resol  Asuntos'!D16/NºAsuntos!G16)-Datos!BF16)/Datos!BF16," - ")</f>
        <v>-0.28668877902246703</v>
      </c>
      <c r="K16" s="462">
        <f>IF(ISNUMBER((((NºAsuntos!C16+NºAsuntos!E16)/NºAsuntos!G16)-Datos!BG16)/Datos!BG16),(((NºAsuntos!C16+NºAsuntos!E16)/NºAsuntos!G16)-Datos!BG16)/Datos!BG16," - ")</f>
        <v>2.3330241675447979E-3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0.82758620689655171</v>
      </c>
      <c r="C17" s="456">
        <f>IF(ISNUMBER(
   IF(D_I="SI",(Datos!J17-Datos!T17)/Datos!T17,(Datos!J17+Datos!AD17-(Datos!T17+Datos!AL17))/(Datos!T17+Datos!AL17))
     ),IF(D_I="SI",(Datos!J17-Datos!T17)/Datos!T17,(Datos!J17+Datos!AD17-(Datos!T17+Datos!AL17))/(Datos!T17+Datos!AL17))," - ")</f>
        <v>2.1578947368421053</v>
      </c>
      <c r="D17" s="456">
        <f>IF(ISNUMBER(
   IF(D_I="SI",(Datos!K17-Datos!U17)/Datos!U17,(Datos!K17+Datos!AE17-(Datos!U17+Datos!AM17))/(Datos!U17+Datos!AM17))
     ),IF(D_I="SI",(Datos!K17-Datos!U17)/Datos!U17,(Datos!K17+Datos!AE17-(Datos!U17+Datos!AM17))/(Datos!U17+Datos!AM17))," - ")</f>
        <v>2.8181818181818183</v>
      </c>
      <c r="E17" s="456">
        <f>IF(ISNUMBER(
   IF(D_I="SI",(Datos!L17-Datos!V17)/Datos!V17,(Datos!L17+Datos!AF17-(Datos!V17+Datos!AN17))/(Datos!V17+Datos!AN17))
     ),IF(D_I="SI",(Datos!L17-Datos!V17)/Datos!V17,(Datos!L17+Datos!AF17-(Datos!V17+Datos!AN17))/(Datos!V17+Datos!AN17))," - ")</f>
        <v>0.11538461538461539</v>
      </c>
      <c r="F17" s="456">
        <f>IF(ISNUMBER((Datos!M17-Datos!W17)/Datos!W17),(Datos!M17-Datos!W17)/Datos!W17," - ")</f>
        <v>-0.16666666666666666</v>
      </c>
      <c r="G17" s="457">
        <f>IF(ISNUMBER((Datos!N17-Datos!X17)/Datos!X17),(Datos!N17-Datos!X17)/Datos!X17," - ")</f>
        <v>2.9166666666666665</v>
      </c>
      <c r="H17" s="455">
        <f>IF(ISNUMBER(((NºAsuntos!G17/NºAsuntos!E17)-Datos!BD17)/Datos!BD17),((NºAsuntos!G17/NºAsuntos!E17)-Datos!BD17)/Datos!BD17," - ")</f>
        <v>0.20909090909090897</v>
      </c>
      <c r="I17" s="456">
        <f>IF(ISNUMBER(((NºAsuntos!I17/NºAsuntos!G17)-Datos!BE17)/Datos!BE17),((NºAsuntos!I17/NºAsuntos!G17)-Datos!BE17)/Datos!BE17," - ")</f>
        <v>-0.70787545787545791</v>
      </c>
      <c r="J17" s="461">
        <f>IF(ISNUMBER((('Resol  Asuntos'!D17/NºAsuntos!G17)-Datos!BF17)/Datos!BF17),(('Resol  Asuntos'!D17/NºAsuntos!G17)-Datos!BF17)/Datos!BF17," - ")</f>
        <v>-0.78174603174603174</v>
      </c>
      <c r="K17" s="462">
        <f>IF(ISNUMBER((((NºAsuntos!C17+NºAsuntos!E17)/NºAsuntos!G17)-Datos!BG17)/Datos!BG17),(((NºAsuntos!C17+NºAsuntos!E17)/NºAsuntos!G17)-Datos!BG17)/Datos!BG17," - ")</f>
        <v>-0.3834325396825396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0.13060686015831136</v>
      </c>
      <c r="C18" s="855">
        <f>IF(ISNUMBER(
   IF(Criterios!B14="SI",(Datos!J18-Datos!T18)/Datos!T18,(Datos!J18+Datos!AD18-(Datos!T18+Datos!AL18))/(Datos!T18+Datos!AL18))
     ),IF(Criterios!B14="SI",(Datos!J18-Datos!T18)/Datos!T18,(Datos!J18+Datos!AD18-(Datos!T18+Datos!AL18))/(Datos!T18+Datos!AL18))," - ")</f>
        <v>-1.9495412844036698E-2</v>
      </c>
      <c r="D18" s="855">
        <f>IF(ISNUMBER(
   IF(Criterios!B14="SI",(Datos!K18-Datos!U18)/Datos!U18,(Datos!K18+Datos!AE18-(Datos!U18+Datos!AM18))/(Datos!U18+Datos!AM18))
     ),IF(Criterios!B14="SI",(Datos!K18-Datos!U18)/Datos!U18,(Datos!K18+Datos!AE18-(Datos!U18+Datos!AM18))/(Datos!U18+Datos!AM18))," - ")</f>
        <v>8.0607476635514014E-2</v>
      </c>
      <c r="E18" s="855">
        <f>IF(ISNUMBER(
   IF(Criterios!B14="SI",(Datos!L18-Datos!V18)/Datos!V18,(Datos!L18+Datos!AF18-(Datos!V18+Datos!AN18))/(Datos!V18+Datos!AN18))
     ),IF(Criterios!B14="SI",(Datos!L18-Datos!V18)/Datos!V18,(Datos!L18+Datos!AF18-(Datos!V18+Datos!AN18))/(Datos!V18+Datos!AN18))," - ")</f>
        <v>4.6658259773013869E-2</v>
      </c>
      <c r="F18" s="856">
        <f>IF(ISNUMBER((Datos!M18-Datos!W18)/Datos!W18),(Datos!M18-Datos!W18)/Datos!W18," - ")</f>
        <v>-0.27500000000000002</v>
      </c>
      <c r="G18" s="857">
        <f>IF(ISNUMBER((Datos!N18-Datos!X18)/Datos!X18),(Datos!N18-Datos!X18)/Datos!X18," - ")</f>
        <v>2.1505376344086023E-2</v>
      </c>
      <c r="H18" s="857">
        <f>IF(ISNUMBER(((NºAsuntos!G18/NºAsuntos!E18)-Datos!BD18)/Datos!BD18),((NºAsuntos!G18/NºAsuntos!E18)-Datos!BD18)/Datos!BD18," - ")</f>
        <v>0.10209323932885184</v>
      </c>
      <c r="I18" s="857">
        <f>IF(ISNUMBER(((NºAsuntos!I18/NºAsuntos!G18)-Datos!BE18)/Datos!BE18),((NºAsuntos!I18/NºAsuntos!G18)-Datos!BE18)/Datos!BE18," - ")</f>
        <v>-3.1416788793837871E-2</v>
      </c>
      <c r="J18" s="857">
        <f>IF(ISNUMBER((('Resol  Asuntos'!D18/NºAsuntos!G18)-Datos!BF18)/Datos!BF18),(('Resol  Asuntos'!D18/NºAsuntos!G18)-Datos!BF18)/Datos!BF18," - ")</f>
        <v>-0.32908108108108103</v>
      </c>
      <c r="K18" s="857">
        <f>IF(ISNUMBER((((NºAsuntos!C18+NºAsuntos!E18)/NºAsuntos!G18)-Datos!BG18)/Datos!BG18),(((NºAsuntos!C18+NºAsuntos!E18)/NºAsuntos!G18)-Datos!BG18)/Datos!BG18," - ")</f>
        <v>-2.8040457635549715E-2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4.745866503368034E-2</v>
      </c>
      <c r="C19" s="802">
        <f>IF(ISNUMBER(
   IF(J_V="SI",(Datos!J19-Datos!T19)/Datos!T19,(Datos!J19+Datos!Z19-(Datos!T19+Datos!AH19))/(Datos!T19+Datos!AH19))
     ),IF(J_V="SI",(Datos!J19-Datos!T19)/Datos!T19,(Datos!J19+Datos!Z19-(Datos!T19+Datos!AH19))/(Datos!T19+Datos!AH19))," - ")</f>
        <v>0.14509605662285135</v>
      </c>
      <c r="D19" s="802">
        <f>IF(ISNUMBER(
   IF(J_V="SI",(Datos!K19-Datos!U19)/Datos!U19,(Datos!K19+Datos!AA19-(Datos!U19+Datos!AI19))/(Datos!U19+Datos!AI19))
     ),IF(J_V="SI",(Datos!K19-Datos!U19)/Datos!U19,(Datos!K19+Datos!AA19-(Datos!U19+Datos!AI19))/(Datos!U19+Datos!AI19))," - ")</f>
        <v>0.13537117903930132</v>
      </c>
      <c r="E19" s="802">
        <f>IF(ISNUMBER(
   IF(J_V="SI",(Datos!L19-Datos!V19)/Datos!V19,(Datos!L19+Datos!AB19-(Datos!V19+Datos!AJ19))/(Datos!V19+Datos!AJ19))
     ),IF(J_V="SI",(Datos!L19-Datos!V19)/Datos!V19,(Datos!L19+Datos!AB19-(Datos!V19+Datos!AJ19))/(Datos!V19+Datos!AJ19))," - ")</f>
        <v>5.9724828017510945E-2</v>
      </c>
      <c r="F19" s="803">
        <f>IF(ISNUMBER((Datos!M19-Datos!W19)/Datos!W19),(Datos!M19-Datos!W19)/Datos!W19," - ")</f>
        <v>7.0063694267515922E-2</v>
      </c>
      <c r="G19" s="804">
        <f>IF(ISNUMBER((Datos!N19-Datos!X19)/Datos!X19),(Datos!N19-Datos!X19)/Datos!X19," - ")</f>
        <v>0.14005352363960749</v>
      </c>
      <c r="H19" s="805">
        <f>IF(ISNUMBER((Tasas!B19-Datos!BD19)/Datos!BD19),(Tasas!B19-Datos!BD19)/Datos!BD19," - ")</f>
        <v>-8.4926304018817581E-3</v>
      </c>
      <c r="I19" s="806">
        <f>IF(ISNUMBER((Tasas!C19-Datos!BE19)/Datos!BE19),(Tasas!C19-Datos!BE19)/Datos!BE19," - ")</f>
        <v>-6.6626978399961539E-2</v>
      </c>
      <c r="J19" s="807">
        <f>IF(ISNUMBER((Tasas!D19-Datos!BF19)/Datos!BF19),(Tasas!D19-Datos!BF19)/Datos!BF19," - ")</f>
        <v>-0.56860282574568288</v>
      </c>
      <c r="K19" s="807">
        <f>IF(ISNUMBER((Tasas!E19-Datos!BG19)/Datos!BG19),(Tasas!E19-Datos!BG19)/Datos!BG19," - ")</f>
        <v>-4.4993545737252914E-2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PWPXEJoBXawiZLoItV2BNKmOkNR4A7vc0Sg0lP+7oR0Cnf+0oDmV58MFb+mdUUlyM91Fngv1iz8C8XBsNOoow==" saltValue="cOqDZQKrItcPF4j9trzL0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POZUELO DE ALARCON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0.91666666666666663</v>
      </c>
      <c r="C10" s="443">
        <f>IF(ISNUMBER(NºAsuntos!I10/NºAsuntos!G10),NºAsuntos!I10/NºAsuntos!G10," - ")</f>
        <v>2.6363636363636362</v>
      </c>
      <c r="D10" s="444">
        <f>IF(ISNUMBER('Resol  Asuntos'!D10/NºAsuntos!G10),'Resol  Asuntos'!D10/NºAsuntos!G10," - ")</f>
        <v>0.36363636363636365</v>
      </c>
      <c r="E10" s="445">
        <f>IF(ISNUMBER((NºAsuntos!C10+NºAsuntos!E10)/NºAsuntos!G10),(NºAsuntos!C10+NºAsuntos!E10)/NºAsuntos!G10," - ")</f>
        <v>3.6363636363636362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1.0042918454935623</v>
      </c>
      <c r="C12" s="443">
        <f>IF(ISNUMBER(NºAsuntos!I12/NºAsuntos!G12),NºAsuntos!I12/NºAsuntos!G12," - ")</f>
        <v>1.8019943019943019</v>
      </c>
      <c r="D12" s="444">
        <f>IF(ISNUMBER('Resol  Asuntos'!D12/NºAsuntos!G12),'Resol  Asuntos'!D12/NºAsuntos!G12," - ")</f>
        <v>0.1745014245014245</v>
      </c>
      <c r="E12" s="445">
        <f>IF(ISNUMBER((NºAsuntos!C12+NºAsuntos!E12)/NºAsuntos!G12),(NºAsuntos!C12+NºAsuntos!E12)/NºAsuntos!G12," - ")</f>
        <v>2.8019943019943021</v>
      </c>
      <c r="G12" s="463"/>
    </row>
    <row r="13" spans="1:7" ht="14.25" thickTop="1" thickBot="1">
      <c r="A13" s="848" t="str">
        <f>Datos!A13</f>
        <v>TOTAL</v>
      </c>
      <c r="B13" s="858">
        <f>IF(ISNUMBER(NºAsuntos!G13/NºAsuntos!E13),NºAsuntos!G13/NºAsuntos!E13," - ")</f>
        <v>1.0035460992907801</v>
      </c>
      <c r="C13" s="859">
        <f>IF(ISNUMBER(NºAsuntos!I13/NºAsuntos!G13),NºAsuntos!I13/NºAsuntos!G13," - ")</f>
        <v>1.8084805653710248</v>
      </c>
      <c r="D13" s="860">
        <f>IF(ISNUMBER('Resol  Asuntos'!D13/NºAsuntos!G13),'Resol  Asuntos'!D13/NºAsuntos!G13," - ")</f>
        <v>0.17597173144876324</v>
      </c>
      <c r="E13" s="861">
        <f>IF(ISNUMBER((NºAsuntos!C13+NºAsuntos!E13)/NºAsuntos!G13),(NºAsuntos!C13+NºAsuntos!E13)/NºAsuntos!G13," - ")</f>
        <v>2.8084805653710245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1.0578616352201258</v>
      </c>
      <c r="C16" s="443">
        <f>IF(ISNUMBER(NºAsuntos!I16/NºAsuntos!G16),NºAsuntos!I16/NºAsuntos!G16," - ")</f>
        <v>0.95243757431629017</v>
      </c>
      <c r="D16" s="444">
        <f>IF(ISNUMBER('Resol  Asuntos'!D16/NºAsuntos!G16),'Resol  Asuntos'!D16/NºAsuntos!G16," - ")</f>
        <v>9.7502972651605235E-2</v>
      </c>
      <c r="E16" s="445">
        <f>IF(ISNUMBER((NºAsuntos!C16+NºAsuntos!E16)/NºAsuntos!G16),(NºAsuntos!C16+NºAsuntos!E16)/NºAsuntos!G16," - ")</f>
        <v>1.901307966706302</v>
      </c>
      <c r="G16" s="463"/>
    </row>
    <row r="17" spans="1:7" ht="13.5" thickBot="1">
      <c r="A17" s="402" t="str">
        <f>Datos!A17</f>
        <v>Jdos. Violencia contra la mujer</v>
      </c>
      <c r="B17" s="442">
        <f>IF(ISNUMBER(NºAsuntos!G17/NºAsuntos!E17),NºAsuntos!G17/NºAsuntos!E17," - ")</f>
        <v>1.4</v>
      </c>
      <c r="C17" s="443">
        <f>IF(ISNUMBER(NºAsuntos!I17/NºAsuntos!G17),NºAsuntos!I17/NºAsuntos!G17," - ")</f>
        <v>0.34523809523809523</v>
      </c>
      <c r="D17" s="444">
        <f>IF(ISNUMBER('Resol  Asuntos'!D17/NºAsuntos!G17),'Resol  Asuntos'!D17/NºAsuntos!G17," - ")</f>
        <v>5.9523809523809521E-2</v>
      </c>
      <c r="E17" s="445">
        <f>IF(ISNUMBER((NºAsuntos!C17+NºAsuntos!E17)/NºAsuntos!G17),(NºAsuntos!C17+NºAsuntos!E17)/NºAsuntos!G17," - ")</f>
        <v>1.3452380952380953</v>
      </c>
      <c r="G17" s="463"/>
    </row>
    <row r="18" spans="1:7" ht="14.25" thickTop="1" thickBot="1">
      <c r="A18" s="848" t="str">
        <f>Datos!A18</f>
        <v>TOTAL</v>
      </c>
      <c r="B18" s="858">
        <f>IF(ISNUMBER(NºAsuntos!G18/NºAsuntos!E18),NºAsuntos!G18/NºAsuntos!E18," - ")</f>
        <v>1.0818713450292399</v>
      </c>
      <c r="C18" s="859">
        <f>IF(ISNUMBER(NºAsuntos!I18/NºAsuntos!G18),NºAsuntos!I18/NºAsuntos!G18," - ")</f>
        <v>0.89729729729729735</v>
      </c>
      <c r="D18" s="862">
        <f>IF(ISNUMBER('Resol  Asuntos'!D18/NºAsuntos!G18),'Resol  Asuntos'!D18/NºAsuntos!G18," - ")</f>
        <v>9.4054054054054051E-2</v>
      </c>
      <c r="E18" s="861">
        <f>IF(ISNUMBER((NºAsuntos!C18+NºAsuntos!E18)/NºAsuntos!G18),(NºAsuntos!C18+NºAsuntos!E18)/NºAsuntos!G18," - ")</f>
        <v>1.8508108108108108</v>
      </c>
      <c r="G18" s="463"/>
    </row>
    <row r="19" spans="1:7" ht="15.75" customHeight="1" thickTop="1" thickBot="1">
      <c r="A19" s="793" t="str">
        <f>Datos!A19</f>
        <v>TOTAL JURISDICCIONES</v>
      </c>
      <c r="B19" s="808">
        <f>IF(ISNUMBER(NºAsuntos!G19/NºAsuntos!E19),NºAsuntos!G19/NºAsuntos!E19," - ")</f>
        <v>1.0331125827814569</v>
      </c>
      <c r="C19" s="809">
        <f>IF(ISNUMBER(NºAsuntos!I19/NºAsuntos!G19),NºAsuntos!I19/NºAsuntos!G19," - ")</f>
        <v>1.4482905982905983</v>
      </c>
      <c r="D19" s="810">
        <f>IF(ISNUMBER('Resol  Asuntos'!D19/NºAsuntos!G19),'Resol  Asuntos'!D19/NºAsuntos!G19," - ")</f>
        <v>0.14358974358974358</v>
      </c>
      <c r="E19" s="811">
        <f>IF(ISNUMBER((NºAsuntos!C19+NºAsuntos!E19)/NºAsuntos!G19),(NºAsuntos!C19+NºAsuntos!E19)/NºAsuntos!G19," - ")</f>
        <v>2.4299145299145297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ldf4PspbkKqAukBm7k4YzRa3l/8EnFvyRCCed5jGA+oz3Ill4UPjgCOECzUfYeTuyk/7wPiHUqFaAg7m4muVQ==" saltValue="i9CqOE337jUUgHDSVWdh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POZUELO DE ALARCON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3</v>
      </c>
      <c r="Y10" s="334">
        <f t="shared" ref="Y10:Y12" si="0">SUM(W10:X10)</f>
        <v>14</v>
      </c>
      <c r="Z10" s="335" t="str">
        <f>IF(ISNUMBER(Datos!CC10),Datos!CC10," - ")</f>
        <v xml:space="preserve"> - </v>
      </c>
      <c r="AA10" s="332">
        <f>IF(ISNUMBER(Datos!L10),Datos!L10,"-")</f>
        <v>29</v>
      </c>
      <c r="AB10" s="334">
        <f>IF(ISNUMBER(Datos!R10),Datos!R10," - ")</f>
        <v>10</v>
      </c>
      <c r="AC10" s="334">
        <f t="shared" ref="AC10:AC12" si="1">IF(ISNUMBER(AA10+AB10),AA10+AB10," - ")</f>
        <v>39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0.91666666666666663</v>
      </c>
      <c r="AM10" s="260">
        <f>IF(ISNUMBER(((NºAsuntos!I10/NºAsuntos!G10)*11)/factor_trimestre),((NºAsuntos!I10/NºAsuntos!G10)*11)/factor_trimestre," - ")</f>
        <v>7.9090909090909092</v>
      </c>
      <c r="AN10" s="244">
        <f>IF(ISNUMBER('Resol  Asuntos'!D10/NºAsuntos!G10),'Resol  Asuntos'!D10/NºAsuntos!G10," - ")</f>
        <v>0.36363636363636365</v>
      </c>
      <c r="AO10" s="245">
        <f>IF(ISNUMBER((NºAsuntos!C10+NºAsuntos!E10)/NºAsuntos!G10),(NºAsuntos!C10+NºAsuntos!E10)/NºAsuntos!G10," - ")</f>
        <v>3.6363636363636362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202</v>
      </c>
      <c r="Y12" s="334">
        <f t="shared" si="0"/>
        <v>202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245</v>
      </c>
      <c r="AJ12" s="229" t="str">
        <f>IF(ISNUMBER(Datos!BW12),Datos!BW12," - ")</f>
        <v xml:space="preserve"> - </v>
      </c>
      <c r="AK12" s="228" t="str">
        <f>IF(ISNUMBER(Datos!BX12),Datos!BX12," - ")</f>
        <v xml:space="preserve"> - </v>
      </c>
      <c r="AL12" s="243">
        <f>IF(ISNUMBER(NºAsuntos!G12/NºAsuntos!E12),NºAsuntos!G12/NºAsuntos!E12," - ")</f>
        <v>1.0042918454935623</v>
      </c>
      <c r="AM12" s="260">
        <f>IF(ISNUMBER(((NºAsuntos!I12/NºAsuntos!G12)*11)/factor_trimestre),((NºAsuntos!I12/NºAsuntos!G12)*11)/factor_trimestre," - ")</f>
        <v>5.4059829059829054</v>
      </c>
      <c r="AN12" s="244">
        <f>IF(ISNUMBER('Resol  Asuntos'!D12/NºAsuntos!G12),'Resol  Asuntos'!D12/NºAsuntos!G12," - ")</f>
        <v>0.1745014245014245</v>
      </c>
      <c r="AO12" s="245">
        <f>IF(ISNUMBER((NºAsuntos!C12+NºAsuntos!E12)/NºAsuntos!G12),(NºAsuntos!C12+NºAsuntos!E12)/NºAsuntos!G12," - ")</f>
        <v>2.8019943019943021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28</v>
      </c>
      <c r="G13" s="866">
        <f t="shared" si="3"/>
        <v>28</v>
      </c>
      <c r="H13" s="865">
        <f t="shared" si="3"/>
        <v>0</v>
      </c>
      <c r="I13" s="867">
        <f t="shared" si="3"/>
        <v>0</v>
      </c>
      <c r="J13" s="867">
        <f t="shared" si="3"/>
        <v>0</v>
      </c>
      <c r="K13" s="867">
        <f t="shared" si="3"/>
        <v>0</v>
      </c>
      <c r="L13" s="867">
        <f t="shared" si="3"/>
        <v>206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205</v>
      </c>
      <c r="Y13" s="868">
        <f t="shared" si="4"/>
        <v>216</v>
      </c>
      <c r="Z13" s="868">
        <f t="shared" si="4"/>
        <v>0</v>
      </c>
      <c r="AA13" s="868">
        <f t="shared" si="4"/>
        <v>29</v>
      </c>
      <c r="AB13" s="868">
        <f t="shared" si="4"/>
        <v>2216</v>
      </c>
      <c r="AC13" s="868">
        <f t="shared" si="4"/>
        <v>39</v>
      </c>
      <c r="AD13" s="868">
        <f t="shared" si="4"/>
        <v>0</v>
      </c>
      <c r="AE13" s="872">
        <f t="shared" si="4"/>
        <v>0</v>
      </c>
      <c r="AF13" s="865">
        <f t="shared" si="4"/>
        <v>0</v>
      </c>
      <c r="AG13" s="873">
        <f t="shared" si="4"/>
        <v>0</v>
      </c>
      <c r="AH13" s="870">
        <f t="shared" si="4"/>
        <v>0</v>
      </c>
      <c r="AI13" s="865">
        <f t="shared" si="4"/>
        <v>249</v>
      </c>
      <c r="AJ13" s="867">
        <f t="shared" si="4"/>
        <v>0</v>
      </c>
      <c r="AK13" s="870">
        <f>SUBTOTAL(9,AK9:AK12)</f>
        <v>0</v>
      </c>
      <c r="AL13" s="874">
        <f>IF(ISNUMBER(NºAsuntos!G13/NºAsuntos!E13),NºAsuntos!G13/NºAsuntos!E13," - ")</f>
        <v>1.0035460992907801</v>
      </c>
      <c r="AM13" s="874">
        <f>IF(ISNUMBER(((NºAsuntos!I13/NºAsuntos!G13)*11)/factor_trimestre),((NºAsuntos!I13/NºAsuntos!G13)*11)/factor_trimestre," - ")</f>
        <v>5.425441696113074</v>
      </c>
      <c r="AN13" s="875">
        <f>IF(ISNUMBER('Resol  Asuntos'!D13/NºAsuntos!G13),'Resol  Asuntos'!D13/NºAsuntos!G13," - ")</f>
        <v>0.17597173144876324</v>
      </c>
      <c r="AO13" s="876">
        <f>IF(ISNUMBER((NºAsuntos!C13+NºAsuntos!E13)/NºAsuntos!G13),(NºAsuntos!C13+NºAsuntos!E13)/NºAsuntos!G13," - ")</f>
        <v>2.8084805653710245</v>
      </c>
      <c r="AP13" s="877" t="str">
        <f t="shared" si="2"/>
        <v xml:space="preserve"> - </v>
      </c>
      <c r="AQ13" s="877">
        <f>IF(ISNUMBER((H13-W13+K13)/(F13)),(H13-W13+K13)/(F13)," - ")</f>
        <v>-0.39285714285714285</v>
      </c>
      <c r="AR13" s="878">
        <f>IF(ISNUMBER((Datos!P13-Datos!Q13)/(Datos!R13-Datos!P13+Datos!Q13)),(Datos!P13-Datos!Q13)/(Datos!R13-Datos!P13+Datos!Q13)," - ")</f>
        <v>4.514672686230248E-4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847</v>
      </c>
      <c r="G16" s="333">
        <f>IF(ISNUMBER(IF(D_I="SI",Datos!I16,Datos!I16+Datos!AC16)),IF(D_I="SI",Datos!I16,Datos!I16+Datos!AC16)," - ")</f>
        <v>804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841</v>
      </c>
      <c r="X16" s="226">
        <f>IF(ISNUMBER(Datos!Q16),Datos!Q16," - ")</f>
        <v>19</v>
      </c>
      <c r="Y16" s="334">
        <f t="shared" ref="Y16:Y17" si="7">SUM(W16:X16)</f>
        <v>860</v>
      </c>
      <c r="Z16" s="335" t="str">
        <f>IF(ISNUMBER(Datos!CC16),Datos!CC16," - ")</f>
        <v xml:space="preserve"> - </v>
      </c>
      <c r="AA16" s="332">
        <f>IF(ISNUMBER(IF(D_I="SI",Datos!L16,Datos!L16+Datos!AF16)),IF(D_I="SI",Datos!L16,Datos!L16+Datos!AF16)," - ")</f>
        <v>801</v>
      </c>
      <c r="AB16" s="334">
        <f>IF(ISNUMBER(Datos!R16),Datos!R16," - ")</f>
        <v>56</v>
      </c>
      <c r="AC16" s="334">
        <f t="shared" si="6"/>
        <v>857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82</v>
      </c>
      <c r="AJ16" s="231" t="str">
        <f>IF(ISNUMBER(Datos!BW16),Datos!BW16," - ")</f>
        <v xml:space="preserve"> - </v>
      </c>
      <c r="AK16" s="232" t="str">
        <f>IF(ISNUMBER(Datos!BX16),Datos!BX16," - ")</f>
        <v xml:space="preserve"> - </v>
      </c>
      <c r="AL16" s="243">
        <f>IF(ISNUMBER(NºAsuntos!G16/NºAsuntos!E16),NºAsuntos!G16/NºAsuntos!E16," - ")</f>
        <v>1.0578616352201258</v>
      </c>
      <c r="AM16" s="260">
        <f>IF(ISNUMBER(((NºAsuntos!I16/NºAsuntos!G16)*11)/factor_trimestre),((NºAsuntos!I16/NºAsuntos!G16)*11)/factor_trimestre," - ")</f>
        <v>2.8573127229488704</v>
      </c>
      <c r="AN16" s="244">
        <f>IF(ISNUMBER('Resol  Asuntos'!D16/NºAsuntos!G16),'Resol  Asuntos'!D16/NºAsuntos!G16," - ")</f>
        <v>9.7502972651605235E-2</v>
      </c>
      <c r="AO16" s="245">
        <f>IF(ISNUMBER((NºAsuntos!C16+NºAsuntos!E16)/NºAsuntos!G16),(NºAsuntos!C16+NºAsuntos!E16)/NºAsuntos!G16," - ")</f>
        <v>1.901307966706302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84</v>
      </c>
      <c r="X17" s="226">
        <f>IF(ISNUMBER(Datos!Q17),Datos!Q17," - ")</f>
        <v>0</v>
      </c>
      <c r="Y17" s="334">
        <f t="shared" si="7"/>
        <v>84</v>
      </c>
      <c r="Z17" s="335" t="str">
        <f>IF(ISNUMBER(Datos!CC17),Datos!CC17," - ")</f>
        <v xml:space="preserve"> - </v>
      </c>
      <c r="AA17" s="332">
        <f>IF(ISNUMBER(Datos!L17),Datos!L17,"-")</f>
        <v>29</v>
      </c>
      <c r="AB17" s="334">
        <f>IF(ISNUMBER(Datos!R17),Datos!R17," - ")</f>
        <v>7</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1.4</v>
      </c>
      <c r="AM17" s="260">
        <f>IF(ISNUMBER(((NºAsuntos!I17/NºAsuntos!G17)*11)/factor_trimestre),((NºAsuntos!I17/NºAsuntos!G17)*11)/factor_trimestre," - ")</f>
        <v>1.0357142857142858</v>
      </c>
      <c r="AN17" s="244">
        <f>IF(ISNUMBER('Resol  Asuntos'!D17/NºAsuntos!G17),'Resol  Asuntos'!D17/NºAsuntos!G17," - ")</f>
        <v>5.9523809523809521E-2</v>
      </c>
      <c r="AO17" s="245">
        <f>IF(ISNUMBER((NºAsuntos!C17+NºAsuntos!E17)/NºAsuntos!G17),(NºAsuntos!C17+NºAsuntos!E17)/NºAsuntos!G17," - ")</f>
        <v>1.3452380952380953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847</v>
      </c>
      <c r="G18" s="866">
        <f>SUBTOTAL(9,G15:G17)</f>
        <v>857</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925</v>
      </c>
      <c r="X18" s="867">
        <f t="shared" si="11"/>
        <v>19</v>
      </c>
      <c r="Y18" s="868">
        <f t="shared" si="11"/>
        <v>944</v>
      </c>
      <c r="Z18" s="868">
        <f t="shared" si="11"/>
        <v>0</v>
      </c>
      <c r="AA18" s="868">
        <f t="shared" si="11"/>
        <v>830</v>
      </c>
      <c r="AB18" s="868">
        <f t="shared" si="11"/>
        <v>63</v>
      </c>
      <c r="AC18" s="868">
        <f t="shared" si="11"/>
        <v>893</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1.0818713450292399</v>
      </c>
      <c r="AM18" s="874">
        <f>IF(ISNUMBER(((NºAsuntos!I18/NºAsuntos!G18)*11)/factor_trimestre),((NºAsuntos!I18/NºAsuntos!G18)*11)/factor_trimestre," - ")</f>
        <v>2.6918918918918924</v>
      </c>
      <c r="AN18" s="875">
        <f>IF(ISNUMBER('Resol  Asuntos'!D18/NºAsuntos!G18),'Resol  Asuntos'!D18/NºAsuntos!G18," - ")</f>
        <v>9.4054054054054051E-2</v>
      </c>
      <c r="AO18" s="876">
        <f>IF(ISNUMBER((NºAsuntos!C18+NºAsuntos!E18)/NºAsuntos!G18),(NºAsuntos!C18+NºAsuntos!E18)/NºAsuntos!G18," - ")</f>
        <v>1.8508108108108108</v>
      </c>
      <c r="AP18" s="877" t="str">
        <f t="shared" si="2"/>
        <v xml:space="preserve"> - </v>
      </c>
      <c r="AQ18" s="877">
        <f>IF(ISNUMBER((H18-W18+K18)/(F18)),(H18-W18+K18)/(F18)," - ")</f>
        <v>-1.0920897284533648</v>
      </c>
      <c r="AR18" s="878">
        <f>IF(ISNUMBER((Datos!P18-Datos!Q18)/(Datos!R18-Datos!P18+Datos!Q18)),(Datos!P18-Datos!Q18)/(Datos!R18-Datos!P18+Datos!Q18)," - ")</f>
        <v>3.2786885245901641E-2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875</v>
      </c>
      <c r="G19" s="821">
        <f t="shared" si="13"/>
        <v>885</v>
      </c>
      <c r="H19" s="820">
        <f t="shared" si="13"/>
        <v>0</v>
      </c>
      <c r="I19" s="822">
        <f t="shared" si="13"/>
        <v>0</v>
      </c>
      <c r="J19" s="822">
        <f t="shared" si="13"/>
        <v>0</v>
      </c>
      <c r="K19" s="881">
        <f t="shared" si="13"/>
        <v>0</v>
      </c>
      <c r="L19" s="822">
        <f t="shared" si="13"/>
        <v>227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936</v>
      </c>
      <c r="X19" s="821">
        <f t="shared" si="14"/>
        <v>224</v>
      </c>
      <c r="Y19" s="828">
        <f t="shared" si="14"/>
        <v>1160</v>
      </c>
      <c r="Z19" s="828">
        <f t="shared" si="14"/>
        <v>0</v>
      </c>
      <c r="AA19" s="828">
        <f t="shared" si="14"/>
        <v>859</v>
      </c>
      <c r="AB19" s="828">
        <f t="shared" si="14"/>
        <v>2279</v>
      </c>
      <c r="AC19" s="828">
        <f t="shared" si="14"/>
        <v>932</v>
      </c>
      <c r="AD19" s="828">
        <f t="shared" si="14"/>
        <v>0</v>
      </c>
      <c r="AE19" s="830">
        <f t="shared" si="14"/>
        <v>0</v>
      </c>
      <c r="AF19" s="831">
        <f t="shared" si="14"/>
        <v>0</v>
      </c>
      <c r="AG19" s="832">
        <f t="shared" si="14"/>
        <v>0</v>
      </c>
      <c r="AH19" s="830">
        <f t="shared" si="14"/>
        <v>0</v>
      </c>
      <c r="AI19" s="820">
        <f t="shared" si="14"/>
        <v>336</v>
      </c>
      <c r="AJ19" s="820">
        <f t="shared" si="14"/>
        <v>0</v>
      </c>
      <c r="AK19" s="830">
        <f t="shared" si="14"/>
        <v>0</v>
      </c>
      <c r="AL19" s="884">
        <f>IF(ISNUMBER(NºAsuntos!G19/NºAsuntos!E19),NºAsuntos!G19/NºAsuntos!E19," - ")</f>
        <v>1.0331125827814569</v>
      </c>
      <c r="AM19" s="885">
        <f>IF(ISNUMBER(((NºAsuntos!I19/NºAsuntos!G19)*11)/factor_trimestre),((NºAsuntos!I19/NºAsuntos!G19)*11)/factor_trimestre," - ")</f>
        <v>4.3448717948717945</v>
      </c>
      <c r="AN19" s="885">
        <f>IF(ISNUMBER('Resol  Asuntos'!D19/NºAsuntos!G19),'Resol  Asuntos'!D19/NºAsuntos!G19," - ")</f>
        <v>0.14358974358974358</v>
      </c>
      <c r="AO19" s="886">
        <f>IF(ISNUMBER((NºAsuntos!C19+NºAsuntos!E19)/NºAsuntos!G19),(NºAsuntos!C19+NºAsuntos!E19)/NºAsuntos!G19," - ")</f>
        <v>2.4299145299145297</v>
      </c>
      <c r="AP19" s="887" t="str">
        <f t="shared" si="2"/>
        <v xml:space="preserve"> - </v>
      </c>
      <c r="AQ19" s="888">
        <f>IF(OR(ISNUMBER(FIND("01",Criterios!A8,1)),ISNUMBER(FIND("02",Criterios!A8,1)),ISNUMBER(FIND("03",Criterios!A8,1)),ISNUMBER(FIND("04",Criterios!A8,1))),(I19-W19+K19)/(F19-K19),(H19-W19+K19)/(F19-K19))</f>
        <v>-1.0697142857142856</v>
      </c>
      <c r="AR19" s="889">
        <f>IF(ISNUMBER((Datos!P19-Datos!Q19)/(Datos!R19-Datos!P19+Datos!Q19)),(Datos!P19-Datos!Q19)/(Datos!R19-Datos!P19+Datos!Q19)," - ")</f>
        <v>1.3181019332161687E-3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472.84987046630351</v>
      </c>
      <c r="G21" s="253">
        <f>IF(ISNUMBER(STDEV(G8:G18)),STDEV(G8:G18),"-")</f>
        <v>435.50602751282327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466.18858844892372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110.54049031915862</v>
      </c>
      <c r="AJ21" s="252">
        <f t="shared" si="18"/>
        <v>0</v>
      </c>
      <c r="AK21" s="254">
        <f t="shared" si="18"/>
        <v>0</v>
      </c>
      <c r="AL21" s="249">
        <f t="shared" si="18"/>
        <v>0.16799220313949928</v>
      </c>
      <c r="AM21" s="250">
        <f t="shared" si="18"/>
        <v>2.4819644826111911</v>
      </c>
      <c r="AN21" s="250">
        <f t="shared" si="18"/>
        <v>0.10979879527043983</v>
      </c>
      <c r="AO21" s="251">
        <f t="shared" si="18"/>
        <v>0.83897043949985706</v>
      </c>
      <c r="AP21" s="291" t="str">
        <f t="shared" si="18"/>
        <v>-</v>
      </c>
      <c r="AQ21" s="292">
        <f t="shared" si="18"/>
        <v>0.49443210290169176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6V7nDSA9WkjMD9O4ImdiMDtSKyq53G1Nn7XnvBCEu15/LVIp6mxOV9V4uQbGPMGSsG18UqlcG6YUsbKIoSAyw==" saltValue="PoBWoVey2VlEd/tfSicK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POZUELO DE ALARCON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4.5999999999999996</v>
      </c>
      <c r="E10" s="348">
        <f>IF(ISNUMBER((Datos!J10-Datos!T10)/Datos!T10),(Datos!J10-Datos!T10)/Datos!T10," - ")</f>
        <v>2</v>
      </c>
      <c r="F10" s="348">
        <f>IF(ISNUMBER((Datos!K10-Datos!U10)/Datos!U10),(Datos!K10-Datos!U10)/Datos!U10," - ")</f>
        <v>2.6666666666666665</v>
      </c>
      <c r="G10" s="349">
        <f>IF(ISNUMBER((Datos!L10-Datos!V10)/Datos!V10),(Datos!L10-Datos!V10)/Datos!V10," - ")</f>
        <v>3.8333333333333335</v>
      </c>
      <c r="H10" s="230">
        <f>IF(ISNUMBER((Datos!M10-Datos!W10)/Datos!W10),(Datos!M10-Datos!W10)/Datos!W10," - ")</f>
        <v>0.33333333333333331</v>
      </c>
      <c r="I10" s="350">
        <f>IF(ISNUMBER((Tasas!C10-Datos!BE10)/Datos!BE10),(Tasas!C10-Datos!BE10)/Datos!BE10," - ")</f>
        <v>0.31818181818181812</v>
      </c>
      <c r="J10" s="349">
        <f>IF(ISNUMBER((Tasas!D10-Datos!BF10)/Datos!BF10),(Tasas!D10-Datos!BF10)/Datos!BF10," - ")</f>
        <v>-0.63636363636363635</v>
      </c>
      <c r="K10" s="351">
        <f>IF(ISNUMBER((Tasas!E10-Datos!BG10)/Datos!BG10),(Tasas!E10-Datos!BG10)/Datos!BG10," - ")</f>
        <v>0.21212121212121207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0.28272251308900526</v>
      </c>
      <c r="I12" s="350">
        <f>IF(ISNUMBER((Tasas!C12-Datos!BE12)/Datos!BE12),(Tasas!C12-Datos!BE12)/Datos!BE12," - ")</f>
        <v>-9.7124989163338532E-2</v>
      </c>
      <c r="J12" s="349">
        <f>IF(ISNUMBER((Tasas!D12-Datos!BF12)/Datos!BF12),(Tasas!D12-Datos!BF12)/Datos!BF12," - ")</f>
        <v>-0.62744100843567974</v>
      </c>
      <c r="K12" s="351">
        <f>IF(ISNUMBER((Tasas!E12-Datos!BG12)/Datos!BG12),(Tasas!E12-Datos!BG12)/Datos!BG12," - ")</f>
        <v>-6.5742815257378323E-2</v>
      </c>
      <c r="M12" t="e">
        <f>IF(Monitorios="SI",Datos!CE12,0)</f>
        <v>#REF!</v>
      </c>
      <c r="N12" t="e">
        <f>IF(Monitorios="SI",Datos!CF12,0)</f>
        <v>#REF!</v>
      </c>
      <c r="O12" t="e">
        <f>IF(Monitorios="SI",Datos!CG12,0)</f>
        <v>#REF!</v>
      </c>
      <c r="P12" t="e">
        <f>IF(Monitorios="SI",Datos!CH12,0)</f>
        <v>#REF!</v>
      </c>
      <c r="Q12">
        <f>IF(J_V="SI",0,Datos!AG12)</f>
        <v>109</v>
      </c>
      <c r="R12">
        <f>IF(J_V="SI",0,Datos!AH12)</f>
        <v>84</v>
      </c>
      <c r="S12">
        <f>IF(J_V="SI",0,Datos!AI12)</f>
        <v>106</v>
      </c>
      <c r="T12">
        <f>IF(J_V="SI",0,Datos!AJ12)</f>
        <v>83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0.28350515463917525</v>
      </c>
      <c r="I13" s="357">
        <f>IF(ISNUMBER((Tasas!C13-Datos!BE13)/Datos!BE13),(Tasas!C13-Datos!BE13)/Datos!BE13," - ")</f>
        <v>-9.3879799886867024E-2</v>
      </c>
      <c r="J13" s="355">
        <f>IF(ISNUMBER((Tasas!D13-Datos!BF13)/Datos!BF13),(Tasas!D13-Datos!BF13)/Datos!BF13," - ")</f>
        <v>-0.62536053640325151</v>
      </c>
      <c r="K13" s="358">
        <f>IF(ISNUMBER((Tasas!E13-Datos!BG13)/Datos!BG13),(Tasas!E13-Datos!BG13)/Datos!BG13," - ")</f>
        <v>-6.3580774412815566E-2</v>
      </c>
      <c r="M13" t="e">
        <f>IF(Monitorios="SI",Datos!CE13,0)</f>
        <v>#REF!</v>
      </c>
      <c r="N13" t="e">
        <f>IF(Monitorios="SI",Datos!CF13,0)</f>
        <v>#REF!</v>
      </c>
      <c r="O13" t="e">
        <f>IF(Monitorios="SI",Datos!CG13,0)</f>
        <v>#REF!</v>
      </c>
      <c r="P13" t="e">
        <f>IF(Monitorios="SI",Datos!CH13,0)</f>
        <v>#REF!</v>
      </c>
      <c r="Q13">
        <f>IF(J_V="SI",0,Datos!AG13)</f>
        <v>109</v>
      </c>
      <c r="R13">
        <f>IF(J_V="SI",0,Datos!AH13)</f>
        <v>84</v>
      </c>
      <c r="S13">
        <f>IF(J_V="SI",0,Datos!AI13)</f>
        <v>106</v>
      </c>
      <c r="T13">
        <f>IF(J_V="SI",0,Datos!AJ13)</f>
        <v>83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0.102880658436214</v>
      </c>
      <c r="E16" s="348">
        <f>IF(ISNUMBER(
   IF(D_I="SI",(Datos!J16-Datos!T16)/Datos!T16,(Datos!J16+Datos!AD16-(Datos!T16+Datos!AL16))/(Datos!T16+Datos!AL16))
     ),IF(D_I="SI",(Datos!J16-Datos!T16)/Datos!T16,(Datos!J16+Datos!AD16-(Datos!T16+Datos!AL16))/(Datos!T16+Datos!AL16))," - ")</f>
        <v>-6.799531066822978E-2</v>
      </c>
      <c r="F16" s="348">
        <f>IF(ISNUMBER(
   IF(D_I="SI",(Datos!K16-Datos!U16)/Datos!U16,(Datos!K16+Datos!AE16-(Datos!U16+Datos!AM16))/(Datos!U16+Datos!AM16))
     ),IF(D_I="SI",(Datos!K16-Datos!U16)/Datos!U16,(Datos!K16+Datos!AE16-(Datos!U16+Datos!AM16))/(Datos!U16+Datos!AM16))," - ")</f>
        <v>8.3932853717026377E-3</v>
      </c>
      <c r="G16" s="349">
        <f>IF(ISNUMBER(
   IF(D_I="SI",(Datos!L16-Datos!V16)/Datos!V16,(Datos!L16+Datos!AF16-(Datos!V16+Datos!AN16))/(Datos!V16+Datos!AN16))
     ),IF(D_I="SI",(Datos!L16-Datos!V16)/Datos!V16,(Datos!L16+Datos!AF16-(Datos!V16+Datos!AN16))/(Datos!V16+Datos!AN16))," - ")</f>
        <v>4.4328552803129077E-2</v>
      </c>
      <c r="H16" s="230">
        <f>IF(ISNUMBER((Datos!M16-Datos!W16)/Datos!W16),(Datos!M16-Datos!W16)/Datos!W16," - ")</f>
        <v>-0.2807017543859649</v>
      </c>
      <c r="I16" s="350">
        <f>IF(ISNUMBER((Tasas!C16-Datos!BE16)/Datos!BE16),(Tasas!C16-Datos!BE16)/Datos!BE16," - ")</f>
        <v>3.5636162946265912E-2</v>
      </c>
      <c r="J16" s="349">
        <f>IF(ISNUMBER((Tasas!D16-Datos!BF16)/Datos!BF16),(Tasas!D16-Datos!BF16)/Datos!BF16," - ")</f>
        <v>-0.28668877902246703</v>
      </c>
      <c r="K16" s="351">
        <f>IF(ISNUMBER((Tasas!E16-Datos!BG16)/Datos!BG16),(Tasas!E16-Datos!BG16)/Datos!BG16," - ")</f>
        <v>2.3330241675447979E-3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0.82758620689655171</v>
      </c>
      <c r="E17" s="348">
        <f>IF(ISNUMBER(
   IF(D_I="SI",(Datos!J17-Datos!T17)/Datos!T17,(Datos!J17+Datos!AD17-(Datos!T17+Datos!AL17))/(Datos!T17+Datos!AL17))
     ),IF(D_I="SI",(Datos!J17-Datos!T17)/Datos!T17,(Datos!J17+Datos!AD17-(Datos!T17+Datos!AL17))/(Datos!T17+Datos!AL17))," - ")</f>
        <v>2.1578947368421053</v>
      </c>
      <c r="F17" s="348">
        <f>IF(ISNUMBER(
   IF(D_I="SI",(Datos!K17-Datos!U17)/Datos!U17,(Datos!K17+Datos!AE17-(Datos!U17+Datos!AM17))/(Datos!U17+Datos!AM17))
     ),IF(D_I="SI",(Datos!K17-Datos!U17)/Datos!U17,(Datos!K17+Datos!AE17-(Datos!U17+Datos!AM17))/(Datos!U17+Datos!AM17))," - ")</f>
        <v>2.8181818181818183</v>
      </c>
      <c r="G17" s="349">
        <f>IF(ISNUMBER(
   IF(D_I="SI",(Datos!L17-Datos!V17)/Datos!V17,(Datos!L17+Datos!AF17-(Datos!V17+Datos!AN17))/(Datos!V17+Datos!AN17))
     ),IF(D_I="SI",(Datos!L17-Datos!V17)/Datos!V17,(Datos!L17+Datos!AF17-(Datos!V17+Datos!AN17))/(Datos!V17+Datos!AN17))," - ")</f>
        <v>0.11538461538461539</v>
      </c>
      <c r="H17" s="230">
        <f>IF(ISNUMBER((Datos!M17-Datos!W17)/Datos!W17),(Datos!M17-Datos!W17)/Datos!W17," - ")</f>
        <v>-0.16666666666666666</v>
      </c>
      <c r="I17" s="350">
        <f>IF(ISNUMBER((Tasas!C17-Datos!BE17)/Datos!BE17),(Tasas!C17-Datos!BE17)/Datos!BE17," - ")</f>
        <v>-0.70787545787545791</v>
      </c>
      <c r="J17" s="349">
        <f>IF(ISNUMBER((Tasas!D17-Datos!BF17)/Datos!BF17),(Tasas!D17-Datos!BF17)/Datos!BF17," - ")</f>
        <v>-0.78174603174603174</v>
      </c>
      <c r="K17" s="351">
        <f>IF(ISNUMBER((Tasas!E17-Datos!BG17)/Datos!BG17),(Tasas!E17-Datos!BG17)/Datos!BG17," - ")</f>
        <v>-0.3834325396825396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0.13060686015831136</v>
      </c>
      <c r="E18" s="354">
        <f>IF(ISNUMBER(
   IF(D_I="SI",(Datos!J18-Datos!T18)/Datos!T18,(Datos!J18+Datos!AD18-(Datos!T18+Datos!AL18))/(Datos!T18+Datos!AL18))
     ),IF(D_I="SI",(Datos!J18-Datos!T18)/Datos!T18,(Datos!J18+Datos!AD18-(Datos!T18+Datos!AL18))/(Datos!T18+Datos!AL18))," - ")</f>
        <v>-1.9495412844036698E-2</v>
      </c>
      <c r="F18" s="354">
        <f>IF(ISNUMBER(
   IF(D_I="SI",(Datos!K18-Datos!U18)/Datos!U18,(Datos!K18+Datos!AE18-(Datos!U18+Datos!AM18))/(Datos!U18+Datos!AM18))
     ),IF(D_I="SI",(Datos!K18-Datos!U18)/Datos!U18,(Datos!K18+Datos!AE18-(Datos!U18+Datos!AM18))/(Datos!U18+Datos!AM18))," - ")</f>
        <v>8.0607476635514014E-2</v>
      </c>
      <c r="G18" s="355">
        <f>IF(ISNUMBER(
   IF(D_I="SI",(Datos!L18-Datos!V18)/Datos!V18,(Datos!L18+Datos!AF18-(Datos!V18+Datos!AN18))/(Datos!V18+Datos!AN18))
     ),IF(D_I="SI",(Datos!L18-Datos!V18)/Datos!V18,(Datos!L18+Datos!AF18-(Datos!V18+Datos!AN18))/(Datos!V18+Datos!AN18))," - ")</f>
        <v>4.6658259773013869E-2</v>
      </c>
      <c r="H18" s="356">
        <f>IF(ISNUMBER((Datos!M18-Datos!W18)/Datos!W18),(Datos!M18-Datos!W18)/Datos!W18," - ")</f>
        <v>-0.27500000000000002</v>
      </c>
      <c r="I18" s="357">
        <f>IF(ISNUMBER((Tasas!C18-Datos!BE18)/Datos!BE18),(Tasas!C18-Datos!BE18)/Datos!BE18," - ")</f>
        <v>-3.1416788793837871E-2</v>
      </c>
      <c r="J18" s="355">
        <f>IF(ISNUMBER((Tasas!D18-Datos!BF18)/Datos!BF18),(Tasas!D18-Datos!BF18)/Datos!BF18," - ")</f>
        <v>-0.32908108108108103</v>
      </c>
      <c r="K18" s="358">
        <f>IF(ISNUMBER((Tasas!E18-Datos!BG18)/Datos!BG18),(Tasas!E18-Datos!BG18)/Datos!BG18," - ")</f>
        <v>-2.8040457635549715E-2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4.745866503368034E-2</v>
      </c>
      <c r="E19" s="363">
        <f>IF(ISNUMBER(
   IF(J_V="SI",(Datos!J19-Datos!T19)/Datos!T19,(Datos!J19+Datos!Z19-(Datos!T19+Datos!AH19))/(Datos!T19+Datos!AH19))
     ),IF(J_V="SI",(Datos!J19-Datos!T19)/Datos!T19,(Datos!J19+Datos!Z19-(Datos!T19+Datos!AH19))/(Datos!T19+Datos!AH19))," - ")</f>
        <v>0.14509605662285135</v>
      </c>
      <c r="F19" s="363">
        <f>IF(ISNUMBER(
   IF(J_V="SI",(Datos!K19-Datos!U19)/Datos!U19,(Datos!K19+Datos!AA19-(Datos!U19+Datos!AI19))/(Datos!U19+Datos!AI19))
     ),IF(J_V="SI",(Datos!K19-Datos!U19)/Datos!U19,(Datos!K19+Datos!AA19-(Datos!U19+Datos!AI19))/(Datos!U19+Datos!AI19))," - ")</f>
        <v>0.13537117903930132</v>
      </c>
      <c r="G19" s="364">
        <f>IF(ISNUMBER(
   IF(J_V="SI",(Datos!L19-Datos!V19)/Datos!V19,(Datos!L19+Datos!AB19-(Datos!V19+Datos!AJ19))/(Datos!V19+Datos!AJ19))
     ),IF(J_V="SI",(Datos!L19-Datos!V19)/Datos!V19,(Datos!L19+Datos!AB19-(Datos!V19+Datos!AJ19))/(Datos!V19+Datos!AJ19))," - ")</f>
        <v>5.9724828017510945E-2</v>
      </c>
      <c r="H19" s="365">
        <f>IF(ISNUMBER((Datos!M19-Datos!W19)/Datos!W19),(Datos!M19-Datos!W19)/Datos!W19," - ")</f>
        <v>7.0063694267515922E-2</v>
      </c>
      <c r="I19" s="362">
        <f>IF(ISNUMBER((Tasas!C19-Datos!BE19)/Datos!BE19),(Tasas!C19-Datos!BE19)/Datos!BE19," - ")</f>
        <v>-6.6626978399961539E-2</v>
      </c>
      <c r="J19" s="363">
        <f>IF(ISNUMBER((Tasas!D19-Datos!BF19)/Datos!BF19),(Tasas!D19-Datos!BF19)/Datos!BF19," - ")</f>
        <v>-0.56860282574568288</v>
      </c>
      <c r="K19" s="364">
        <f>IF(ISNUMBER((Tasas!E19-Datos!BG19)/Datos!BG19),(Tasas!E19-Datos!BG19)/Datos!BG19," - ")</f>
        <v>-4.4993545737252914E-2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2.1494652497993343</v>
      </c>
      <c r="E21" s="278">
        <f t="shared" si="1"/>
        <v>1.2273909891517552</v>
      </c>
      <c r="F21" s="278">
        <f t="shared" si="1"/>
        <v>1.5591535125725644</v>
      </c>
      <c r="G21" s="279">
        <f t="shared" si="1"/>
        <v>1.8825599971054512</v>
      </c>
      <c r="H21" s="285">
        <f t="shared" si="1"/>
        <v>0.29946007664357938</v>
      </c>
      <c r="I21" s="277">
        <f t="shared" si="1"/>
        <v>0.336880675500352</v>
      </c>
      <c r="J21" s="278">
        <f t="shared" si="1"/>
        <v>0.19542242621748762</v>
      </c>
      <c r="K21" s="279">
        <f t="shared" si="1"/>
        <v>0.19153191677014858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ypuMywsgRSVFJaX6zan8zKZPV5gbvt1xR+NCEfbytCJHyrjQGK1ElhxW0g+5s8SweYWl+bzw0LiZw8OKOUcCA==" saltValue="YYKWXn2tGWluetDM+6/n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